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2"/>
  </bookViews>
  <sheets>
    <sheet name="KLSE-BS" sheetId="1" r:id="rId1"/>
    <sheet name="KLSE-PL" sheetId="2" r:id="rId2"/>
    <sheet name="CFlow" sheetId="3" r:id="rId3"/>
    <sheet name="SCE" sheetId="4" r:id="rId4"/>
  </sheets>
  <externalReferences>
    <externalReference r:id="rId7"/>
  </externalReferences>
  <definedNames>
    <definedName name="_xlnm.Print_Area" localSheetId="2">'CFlow'!$A$1:$G$76</definedName>
    <definedName name="_xlnm.Print_Area" localSheetId="3">'SCE'!$A$1:$F$39</definedName>
    <definedName name="_xlnm.Print_Titles" localSheetId="2">'CFlow'!$2:$13</definedName>
    <definedName name="_xlnm.Print_Titles" localSheetId="0">'KLSE-BS'!$1:$12</definedName>
    <definedName name="_xlnm.Print_Titles" localSheetId="1">'KLSE-PL'!$1:$14</definedName>
  </definedNames>
  <calcPr fullCalcOnLoad="1"/>
</workbook>
</file>

<file path=xl/sharedStrings.xml><?xml version="1.0" encoding="utf-8"?>
<sst xmlns="http://schemas.openxmlformats.org/spreadsheetml/2006/main" count="247" uniqueCount="196">
  <si>
    <t>Artwright Holdings Berhad (274909-A)</t>
  </si>
  <si>
    <t>And its Subsidiary Companies</t>
  </si>
  <si>
    <t>Quarterly report on consolidated results for the financial quarter ended 31 March 2005</t>
  </si>
  <si>
    <t>CONDENSED CONSOLIDATED BALANCE SHEET</t>
  </si>
  <si>
    <t>(Unaudited)</t>
  </si>
  <si>
    <t>(Audited)</t>
  </si>
  <si>
    <t>As At Current</t>
  </si>
  <si>
    <t>As At Preceding</t>
  </si>
  <si>
    <t>2nd Quarter</t>
  </si>
  <si>
    <t>Financial Year End</t>
  </si>
  <si>
    <t>31.03.2005</t>
  </si>
  <si>
    <t>30.06.2004</t>
  </si>
  <si>
    <t>RM</t>
  </si>
  <si>
    <t xml:space="preserve"> </t>
  </si>
  <si>
    <t>PROPERTY, PLANT AND EQUIPMENT</t>
  </si>
  <si>
    <t>INVESTMENT IN ASSOCIATED COMPANIES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</si>
  <si>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</si>
  <si>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</si>
  <si>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</si>
  <si>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</si>
  <si>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</si>
  <si>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</si>
  <si>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 receivables, deposits &amp; prepayments</t>
  </si>
  <si>
    <t>Fixed Deposits</t>
  </si>
  <si>
    <t>Cash and bank balances</t>
  </si>
  <si>
    <t>CURRENT LIABILITIES</t>
  </si>
  <si>
    <t>Trade payables</t>
  </si>
  <si>
    <t>Other payables &amp; accrued expenses</t>
  </si>
  <si>
    <t>Amount owing to associated company</t>
  </si>
  <si>
    <t>Amount owing to directors</t>
  </si>
  <si>
    <t>Hire-Purchase and lease obligations</t>
  </si>
  <si>
    <t>-Current portion</t>
  </si>
  <si>
    <t>Long-term loans - Current portions</t>
  </si>
  <si>
    <t>Short term Bank borrowings</t>
  </si>
  <si>
    <t>Tax liabilities</t>
  </si>
  <si>
    <t xml:space="preserve">NET CURRENT ASSETS </t>
  </si>
  <si>
    <t>NET ASSETS</t>
  </si>
  <si>
    <t>SHAREHOLDERS' FUNDS</t>
  </si>
  <si>
    <t>Share capital</t>
  </si>
  <si>
    <t>Reserves:-</t>
  </si>
  <si>
    <t>Share premium</t>
  </si>
  <si>
    <t>Accumulated Losses</t>
  </si>
  <si>
    <t>Interest on ICULS</t>
  </si>
  <si>
    <t>ICULS</t>
  </si>
  <si>
    <t>Minority interests</t>
  </si>
  <si>
    <t>Long Term Borrowings</t>
  </si>
  <si>
    <t xml:space="preserve">Long-term loans </t>
  </si>
  <si>
    <t>Other Long Term Liabilities</t>
  </si>
  <si>
    <t>Hire-purchase and lease obligations</t>
  </si>
  <si>
    <t>DEFERRED TAXATION</t>
  </si>
  <si>
    <t>NET TANGIBLE ASSETS PER SHARE (RM)</t>
  </si>
  <si>
    <t>The Condensed Consolidated Balance Sheet should be read in conjunction with the audited Annual Report Year Ended 30 June 2004.</t>
  </si>
  <si>
    <t>The figures have not been audited.</t>
  </si>
  <si>
    <t>CONDENSED CONSOLIDATED INCOME STATEMENT</t>
  </si>
  <si>
    <t>INDIVIDUAL PERIOD</t>
  </si>
  <si>
    <t>CUMULATIVE PERIOD</t>
  </si>
  <si>
    <t>CURRENT YEAR</t>
  </si>
  <si>
    <t>PRECEDING YEAR</t>
  </si>
  <si>
    <t>QUARTER</t>
  </si>
  <si>
    <t>CORRESPONDING</t>
  </si>
  <si>
    <t>TO DATE</t>
  </si>
  <si>
    <t>PERIOD</t>
  </si>
  <si>
    <t>31/03/2005</t>
  </si>
  <si>
    <t>31/03/2004</t>
  </si>
  <si>
    <t>RM'000</t>
  </si>
  <si>
    <t>1 (a)</t>
  </si>
  <si>
    <t xml:space="preserve">  Revenue</t>
  </si>
  <si>
    <t xml:space="preserve">  (b)</t>
  </si>
  <si>
    <t xml:space="preserve">  Investment income</t>
  </si>
  <si>
    <t xml:space="preserve">  (c)</t>
  </si>
  <si>
    <t xml:space="preserve">  Other income </t>
  </si>
  <si>
    <t>2 (a)</t>
  </si>
  <si>
    <t xml:space="preserve">  Profit/(loss) before</t>
  </si>
  <si>
    <t xml:space="preserve">  finance cost, depreciation</t>
  </si>
  <si>
    <t xml:space="preserve">  and amortisation, exceptional items,</t>
  </si>
  <si>
    <t xml:space="preserve">  income tax, minority interests and</t>
  </si>
  <si>
    <t xml:space="preserve">  extraordinary items</t>
  </si>
  <si>
    <t xml:space="preserve">  Finance cost</t>
  </si>
  <si>
    <t xml:space="preserve">  Depreciation and amortisation</t>
  </si>
  <si>
    <t xml:space="preserve">  (d)</t>
  </si>
  <si>
    <t xml:space="preserve">  Exceptional items</t>
  </si>
  <si>
    <t xml:space="preserve">  (e)</t>
  </si>
  <si>
    <t xml:space="preserve">  Profit/(loss) before income tax,</t>
  </si>
  <si>
    <t xml:space="preserve">  minority interests and extraordinary items</t>
  </si>
  <si>
    <t xml:space="preserve">  </t>
  </si>
  <si>
    <t xml:space="preserve">  (f)</t>
  </si>
  <si>
    <t xml:space="preserve">  Share of profits &amp; losses of </t>
  </si>
  <si>
    <t xml:space="preserve">  associated companies</t>
  </si>
  <si>
    <t xml:space="preserve">  (g)</t>
  </si>
  <si>
    <t xml:space="preserve">  Profit/(loss) before income tax, minority</t>
  </si>
  <si>
    <t xml:space="preserve">  interest &amp; extraordinary items</t>
  </si>
  <si>
    <t xml:space="preserve"> (h)</t>
  </si>
  <si>
    <t xml:space="preserve">  Income tax</t>
  </si>
  <si>
    <t>(i) i</t>
  </si>
  <si>
    <t xml:space="preserve">  Profit/(loss) after income tax</t>
  </si>
  <si>
    <t xml:space="preserve">  before deducting minority interest.</t>
  </si>
  <si>
    <t xml:space="preserve"> (i) ii</t>
  </si>
  <si>
    <t xml:space="preserve">  Less Minority interests</t>
  </si>
  <si>
    <t>(j)</t>
  </si>
  <si>
    <t xml:space="preserve">  Pre-acquisition profit/(loss), if </t>
  </si>
  <si>
    <t xml:space="preserve">  applicable</t>
  </si>
  <si>
    <t>(k)</t>
  </si>
  <si>
    <t xml:space="preserve">  Net profit/(loss) from ordinary activities</t>
  </si>
  <si>
    <t xml:space="preserve">  attributable to members of the company</t>
  </si>
  <si>
    <t>(l) i</t>
  </si>
  <si>
    <t xml:space="preserve">  Extraordinary items</t>
  </si>
  <si>
    <t xml:space="preserve">    ii</t>
  </si>
  <si>
    <t xml:space="preserve">  Less minority interests</t>
  </si>
  <si>
    <t xml:space="preserve">   iii</t>
  </si>
  <si>
    <t xml:space="preserve">  Extraordinary items attributable to</t>
  </si>
  <si>
    <t xml:space="preserve">  members of the company</t>
  </si>
  <si>
    <t>(m)</t>
  </si>
  <si>
    <t xml:space="preserve">  Net profit/(loss) attributable to</t>
  </si>
  <si>
    <t>3 (a)</t>
  </si>
  <si>
    <t xml:space="preserve">  Earnings per share based on 2(m)</t>
  </si>
  <si>
    <t xml:space="preserve">  above after deducting any provision</t>
  </si>
  <si>
    <t xml:space="preserve">  for preference dividends, if any :</t>
  </si>
  <si>
    <t xml:space="preserve">     i</t>
  </si>
  <si>
    <t xml:space="preserve">  Basic (based on ordinary shares - sen)</t>
  </si>
  <si>
    <t xml:space="preserve">  Fully diluted (based on ordinary</t>
  </si>
  <si>
    <t xml:space="preserve">  shares-sen)</t>
  </si>
  <si>
    <t xml:space="preserve">Note : </t>
  </si>
  <si>
    <t>1,908,994 shares issued on 6 March 2002</t>
  </si>
  <si>
    <t>1,357,260 shares issued on 13 June 2002</t>
  </si>
  <si>
    <t>The Condensed Consolidated Income Statement should be read in conjunction with the audited Annual Report Year Ended 30 June 2004.</t>
  </si>
  <si>
    <t>CONDENSED CASH FLOWS STATEMENTS FOR THE QUARTER  ENDED 31 MARCH 2005</t>
  </si>
  <si>
    <t>9 months ended</t>
  </si>
  <si>
    <t>31.03.2004</t>
  </si>
  <si>
    <t>CASH FLOWS FROM OPERATING ACTIVITIES</t>
  </si>
  <si>
    <t>Profit before tax</t>
  </si>
  <si>
    <t>Adjustment for:</t>
  </si>
  <si>
    <t>Non cash items and non-operating items</t>
  </si>
  <si>
    <t>Operating Profit before working capital changes</t>
  </si>
  <si>
    <t>Changes in Working Capital</t>
  </si>
  <si>
    <t>Net changes in current assets</t>
  </si>
  <si>
    <t>Net changes in current liabilities</t>
  </si>
  <si>
    <t>Cash generated from / (used in) operations</t>
  </si>
  <si>
    <t>Additions to intangible assets</t>
  </si>
  <si>
    <t>Income tax paid</t>
  </si>
  <si>
    <t>Interest income</t>
  </si>
  <si>
    <t>Net cash from / (used in ) operating activities</t>
  </si>
  <si>
    <t>CASH FLOWS FROM INVESTING ACTIVITIES</t>
  </si>
  <si>
    <t>Purchase of property, plant &amp; equipment</t>
  </si>
  <si>
    <t>Proceeds from disposal of property, plant &amp; equipment</t>
  </si>
  <si>
    <t>Proceeds from disposal of quoted investment</t>
  </si>
  <si>
    <t>Net cash used in investing activities</t>
  </si>
  <si>
    <t>CASH FLOWS FROM FINANCING ACTIVITIES</t>
  </si>
  <si>
    <t>Proceeds from placement of shares</t>
  </si>
  <si>
    <t>Proceeds / (Repayment) of long term loans</t>
  </si>
  <si>
    <t>Finance costs paid</t>
  </si>
  <si>
    <t>Proceeds/(Repayment) of bank borrowings</t>
  </si>
  <si>
    <t>Proposed Bonus Issue Expenses</t>
  </si>
  <si>
    <t>ICULS interest paid</t>
  </si>
  <si>
    <t>Repayment of hire purchase payables</t>
  </si>
  <si>
    <t>Repayment of lease payables</t>
  </si>
  <si>
    <t>Net cash (used in )/from financing activities</t>
  </si>
  <si>
    <t xml:space="preserve">NET DECREASE IN </t>
  </si>
  <si>
    <t xml:space="preserve">   CASH &amp; CASH EQUIVALENTS</t>
  </si>
  <si>
    <t>CASH &amp; CASH EQUIVALENTS AT</t>
  </si>
  <si>
    <t xml:space="preserve">  BEGINNING OF YEAR</t>
  </si>
  <si>
    <t xml:space="preserve">  END OF THE PERIOD</t>
  </si>
  <si>
    <t>Cash &amp; cash equivalents at end of financial period</t>
  </si>
  <si>
    <t>comprise the following:</t>
  </si>
  <si>
    <t>Fixed deposits with licenced banks</t>
  </si>
  <si>
    <t>Cash &amp; bank balances</t>
  </si>
  <si>
    <t>Less:- Bank overdrafts</t>
  </si>
  <si>
    <t>The Condensed Cash Flow Statements should be read in conjunction with the audited Annual Report Year Ended 30 June 2004</t>
  </si>
  <si>
    <t>CONDENSED CONSOLIDATED STATEMENTS OF CHANGES IN EQUITY</t>
  </si>
  <si>
    <t>FOR THE PERIOD ENDED 31 MARCH 2005</t>
  </si>
  <si>
    <t xml:space="preserve">Irredeemable </t>
  </si>
  <si>
    <t>Non-</t>
  </si>
  <si>
    <t xml:space="preserve">Convertible </t>
  </si>
  <si>
    <t>distributable</t>
  </si>
  <si>
    <t xml:space="preserve">Unsecured </t>
  </si>
  <si>
    <t>Reserve</t>
  </si>
  <si>
    <t xml:space="preserve">Issue </t>
  </si>
  <si>
    <t>Loan Stocks</t>
  </si>
  <si>
    <t>Share</t>
  </si>
  <si>
    <t>Accumulated</t>
  </si>
  <si>
    <t>Capital</t>
  </si>
  <si>
    <t>(ICULS)</t>
  </si>
  <si>
    <t>Premium</t>
  </si>
  <si>
    <t>Loss</t>
  </si>
  <si>
    <t>Total</t>
  </si>
  <si>
    <t>At 1 July 2003</t>
  </si>
  <si>
    <t>Net profit for the year</t>
  </si>
  <si>
    <t>Issue of shares :</t>
  </si>
  <si>
    <t xml:space="preserve">     Conversion of ICULS</t>
  </si>
  <si>
    <t xml:space="preserve">     Ordinary shares</t>
  </si>
  <si>
    <t xml:space="preserve">     Bonus issue</t>
  </si>
  <si>
    <t>Share issue expenses</t>
  </si>
  <si>
    <t>At 31 March 2004</t>
  </si>
  <si>
    <t>At 1 July 2004</t>
  </si>
  <si>
    <t>Net profit for the period</t>
  </si>
  <si>
    <t>Bonus issue expenses</t>
  </si>
  <si>
    <t>At 31 March 2005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</si>
</sst>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* #,##0.00_);_(* \(#,##0.00\);_(* &quot;-&quot;_);_(@_)"/>
    <numFmt numFmtId="167" formatCode="_ * #,##0_ ;_ * \-#,##0_ ;_ * &quot;-&quot;_ ;_ @_ "/>
    <numFmt numFmtId="168" formatCode="_(* #,##0.00_);_(* \(#,##0.00\);_(* &quot;&quot;??_);_(@_)"/>
    <numFmt numFmtId="169" formatCode="_(* #,##0.0_);_(* \(#,##0.0\);_(* &quot;-&quot;??_);_(@_)"/>
    <numFmt numFmtId="170" formatCode="0.00000E+00"/>
    <numFmt numFmtId="171" formatCode="0.000000E+00"/>
    <numFmt numFmtId="172" formatCode="0.0000000E+00"/>
    <numFmt numFmtId="173" formatCode="0.0000E+00"/>
    <numFmt numFmtId="174" formatCode="0.000E+00"/>
    <numFmt numFmtId="175" formatCode="0.0E+00"/>
    <numFmt numFmtId="176" formatCode="0E+0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#,##0.0000000000_);\(#,##0.0000000000\)"/>
    <numFmt numFmtId="183" formatCode="#,##0.000000000_);\(#,##0.000000000\)"/>
    <numFmt numFmtId="184" formatCode="#,##0.00000000_);\(#,##0.00000000\)"/>
    <numFmt numFmtId="185" formatCode="#,##0.0000000_);\(#,##0.0000000\)"/>
    <numFmt numFmtId="186" formatCode="#,##0.000000_);\(#,##0.000000\)"/>
    <numFmt numFmtId="187" formatCode="#,##0.00000_);\(#,##0.00000\)"/>
    <numFmt numFmtId="188" formatCode="#,##0.0000_);\(#,##0.0000\)"/>
    <numFmt numFmtId="189" formatCode="#,##0.000_);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15">
    <font>
      <sz val="10"/>
      <name val="Arial"/>
      <family val="0"/>
    </font>
    <font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5"/>
      <name val="Times New Roman"/>
      <family val="1"/>
    </font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3" fontId="5" fillId="0" borderId="0" xfId="16" applyFont="1" applyAlignment="1">
      <alignment/>
    </xf>
    <xf numFmtId="39" fontId="6" fillId="0" borderId="0" xfId="16" applyNumberFormat="1" applyFont="1" applyAlignment="1">
      <alignment/>
    </xf>
    <xf numFmtId="43" fontId="6" fillId="0" borderId="0" xfId="16" applyFont="1" applyBorder="1" applyAlignment="1">
      <alignment/>
    </xf>
    <xf numFmtId="43" fontId="7" fillId="0" borderId="0" xfId="16" applyFont="1" applyAlignment="1">
      <alignment/>
    </xf>
    <xf numFmtId="43" fontId="8" fillId="0" borderId="0" xfId="16" applyFont="1" applyAlignment="1">
      <alignment/>
    </xf>
    <xf numFmtId="0" fontId="8" fillId="0" borderId="0" xfId="15" applyFont="1" applyAlignment="1" quotePrefix="1">
      <alignment horizontal="left"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43" fontId="7" fillId="0" borderId="0" xfId="16" applyFont="1" applyBorder="1" applyAlignment="1">
      <alignment/>
    </xf>
    <xf numFmtId="43" fontId="6" fillId="0" borderId="0" xfId="16" applyFont="1" applyAlignment="1">
      <alignment/>
    </xf>
    <xf numFmtId="43" fontId="8" fillId="0" borderId="0" xfId="16" applyFont="1" applyAlignment="1">
      <alignment horizontal="center"/>
    </xf>
    <xf numFmtId="39" fontId="8" fillId="0" borderId="0" xfId="16" applyNumberFormat="1" applyFont="1" applyAlignment="1">
      <alignment horizontal="center"/>
    </xf>
    <xf numFmtId="43" fontId="8" fillId="0" borderId="0" xfId="16" applyFont="1" applyFill="1" applyBorder="1" applyAlignment="1">
      <alignment/>
    </xf>
    <xf numFmtId="39" fontId="8" fillId="0" borderId="0" xfId="16" applyNumberFormat="1" applyFont="1" applyFill="1" applyBorder="1" applyAlignment="1">
      <alignment horizontal="center"/>
    </xf>
    <xf numFmtId="39" fontId="8" fillId="0" borderId="0" xfId="16" applyNumberFormat="1" applyFont="1" applyFill="1" applyBorder="1" applyAlignment="1" quotePrefix="1">
      <alignment horizontal="center"/>
    </xf>
    <xf numFmtId="39" fontId="6" fillId="0" borderId="0" xfId="16" applyNumberFormat="1" applyFont="1" applyFill="1" applyBorder="1" applyAlignment="1">
      <alignment horizontal="center"/>
    </xf>
    <xf numFmtId="39" fontId="7" fillId="0" borderId="0" xfId="0" applyNumberFormat="1" applyFont="1" applyBorder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Alignment="1">
      <alignment/>
    </xf>
    <xf numFmtId="167" fontId="7" fillId="0" borderId="0" xfId="16" applyNumberFormat="1" applyFont="1" applyAlignment="1">
      <alignment/>
    </xf>
    <xf numFmtId="43" fontId="8" fillId="0" borderId="0" xfId="16" applyFont="1" applyAlignment="1" quotePrefix="1">
      <alignment horizontal="left"/>
    </xf>
    <xf numFmtId="0" fontId="7" fillId="0" borderId="0" xfId="0" applyFont="1" applyBorder="1" applyAlignment="1">
      <alignment/>
    </xf>
    <xf numFmtId="43" fontId="6" fillId="0" borderId="0" xfId="16" applyFont="1" applyAlignment="1">
      <alignment/>
    </xf>
    <xf numFmtId="43" fontId="8" fillId="0" borderId="0" xfId="16" applyFont="1" applyAlignment="1">
      <alignment/>
    </xf>
    <xf numFmtId="37" fontId="6" fillId="0" borderId="0" xfId="0" applyNumberFormat="1" applyFont="1" applyFill="1" applyBorder="1" applyAlignment="1">
      <alignment/>
    </xf>
    <xf numFmtId="37" fontId="6" fillId="0" borderId="0" xfId="0" applyNumberFormat="1" applyFont="1" applyBorder="1" applyAlignment="1">
      <alignment/>
    </xf>
    <xf numFmtId="43" fontId="9" fillId="0" borderId="0" xfId="16" applyFont="1" applyFill="1" applyAlignment="1">
      <alignment/>
    </xf>
    <xf numFmtId="43" fontId="9" fillId="0" borderId="0" xfId="16" applyFont="1" applyAlignment="1">
      <alignment/>
    </xf>
    <xf numFmtId="43" fontId="10" fillId="0" borderId="0" xfId="16" applyFont="1" applyAlignment="1">
      <alignment/>
    </xf>
    <xf numFmtId="37" fontId="6" fillId="0" borderId="1" xfId="0" applyNumberFormat="1" applyFont="1" applyFill="1" applyBorder="1" applyAlignment="1">
      <alignment/>
    </xf>
    <xf numFmtId="37" fontId="6" fillId="0" borderId="1" xfId="0" applyNumberFormat="1" applyFont="1" applyBorder="1" applyAlignment="1">
      <alignment/>
    </xf>
    <xf numFmtId="43" fontId="6" fillId="0" borderId="0" xfId="16" applyFont="1" applyAlignment="1" quotePrefix="1">
      <alignment horizontal="left"/>
    </xf>
    <xf numFmtId="43" fontId="6" fillId="0" borderId="0" xfId="16" applyFont="1" applyAlignment="1">
      <alignment horizontal="left"/>
    </xf>
    <xf numFmtId="43" fontId="6" fillId="0" borderId="0" xfId="16" applyFont="1" applyFill="1" applyAlignment="1" quotePrefix="1">
      <alignment horizontal="left"/>
    </xf>
    <xf numFmtId="167" fontId="6" fillId="0" borderId="0" xfId="16" applyNumberFormat="1" applyFont="1" applyFill="1" applyAlignment="1">
      <alignment/>
    </xf>
    <xf numFmtId="165" fontId="6" fillId="0" borderId="0" xfId="16" applyNumberFormat="1" applyFont="1" applyAlignment="1">
      <alignment/>
    </xf>
    <xf numFmtId="37" fontId="6" fillId="0" borderId="1" xfId="16" applyNumberFormat="1" applyFont="1" applyFill="1" applyBorder="1" applyAlignment="1">
      <alignment/>
    </xf>
    <xf numFmtId="37" fontId="6" fillId="0" borderId="1" xfId="16" applyNumberFormat="1" applyFont="1" applyBorder="1" applyAlignment="1">
      <alignment/>
    </xf>
    <xf numFmtId="43" fontId="8" fillId="0" borderId="0" xfId="16" applyFont="1" applyAlignment="1" quotePrefix="1">
      <alignment horizontal="left"/>
    </xf>
    <xf numFmtId="37" fontId="6" fillId="0" borderId="0" xfId="16" applyNumberFormat="1" applyFont="1" applyFill="1" applyBorder="1" applyAlignment="1">
      <alignment/>
    </xf>
    <xf numFmtId="37" fontId="6" fillId="0" borderId="0" xfId="16" applyNumberFormat="1" applyFont="1" applyBorder="1" applyAlignment="1">
      <alignment/>
    </xf>
    <xf numFmtId="37" fontId="8" fillId="0" borderId="2" xfId="16" applyNumberFormat="1" applyFont="1" applyFill="1" applyBorder="1" applyAlignment="1">
      <alignment/>
    </xf>
    <xf numFmtId="37" fontId="8" fillId="0" borderId="2" xfId="16" applyNumberFormat="1" applyFont="1" applyBorder="1" applyAlignment="1">
      <alignment/>
    </xf>
    <xf numFmtId="43" fontId="8" fillId="0" borderId="0" xfId="16" applyFont="1" applyAlignment="1">
      <alignment horizontal="left"/>
    </xf>
    <xf numFmtId="43" fontId="6" fillId="0" borderId="0" xfId="16" applyFont="1" applyAlignment="1" quotePrefix="1">
      <alignment horizontal="left"/>
    </xf>
    <xf numFmtId="37" fontId="6" fillId="0" borderId="3" xfId="0" applyNumberFormat="1" applyFont="1" applyFill="1" applyBorder="1" applyAlignment="1">
      <alignment/>
    </xf>
    <xf numFmtId="43" fontId="6" fillId="0" borderId="3" xfId="16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0" xfId="16" applyNumberFormat="1" applyFont="1" applyFill="1" applyAlignment="1">
      <alignment/>
    </xf>
    <xf numFmtId="37" fontId="6" fillId="0" borderId="0" xfId="16" applyNumberFormat="1" applyFont="1" applyAlignment="1">
      <alignment/>
    </xf>
    <xf numFmtId="165" fontId="6" fillId="0" borderId="0" xfId="16" applyNumberFormat="1" applyFont="1" applyFill="1" applyAlignment="1">
      <alignment/>
    </xf>
    <xf numFmtId="37" fontId="6" fillId="0" borderId="3" xfId="16" applyNumberFormat="1" applyFont="1" applyFill="1" applyBorder="1" applyAlignment="1">
      <alignment/>
    </xf>
    <xf numFmtId="37" fontId="6" fillId="0" borderId="3" xfId="16" applyNumberFormat="1" applyFont="1" applyBorder="1" applyAlignment="1">
      <alignment/>
    </xf>
    <xf numFmtId="167" fontId="7" fillId="0" borderId="0" xfId="16" applyNumberFormat="1" applyFont="1" applyBorder="1" applyAlignment="1">
      <alignment/>
    </xf>
    <xf numFmtId="39" fontId="6" fillId="0" borderId="0" xfId="16" applyNumberFormat="1" applyFont="1" applyFill="1" applyAlignment="1">
      <alignment/>
    </xf>
    <xf numFmtId="0" fontId="11" fillId="0" borderId="0" xfId="0" applyFont="1" applyAlignment="1" quotePrefix="1">
      <alignment horizontal="left"/>
    </xf>
    <xf numFmtId="39" fontId="7" fillId="0" borderId="0" xfId="16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41" fontId="6" fillId="0" borderId="6" xfId="0" applyNumberFormat="1" applyFont="1" applyFill="1" applyBorder="1" applyAlignment="1">
      <alignment horizontal="centerContinuous"/>
    </xf>
    <xf numFmtId="41" fontId="6" fillId="0" borderId="7" xfId="0" applyNumberFormat="1" applyFont="1" applyFill="1" applyBorder="1" applyAlignment="1">
      <alignment horizontal="centerContinuous"/>
    </xf>
    <xf numFmtId="41" fontId="6" fillId="0" borderId="8" xfId="0" applyNumberFormat="1" applyFont="1" applyFill="1" applyBorder="1" applyAlignment="1">
      <alignment horizontal="center"/>
    </xf>
    <xf numFmtId="41" fontId="6" fillId="0" borderId="9" xfId="0" applyNumberFormat="1" applyFont="1" applyFill="1" applyBorder="1" applyAlignment="1">
      <alignment horizontal="centerContinuous"/>
    </xf>
    <xf numFmtId="41" fontId="6" fillId="0" borderId="10" xfId="0" applyNumberFormat="1" applyFont="1" applyFill="1" applyBorder="1" applyAlignment="1">
      <alignment horizontal="centerContinuous"/>
    </xf>
    <xf numFmtId="41" fontId="6" fillId="0" borderId="11" xfId="0" applyNumberFormat="1" applyFont="1" applyFill="1" applyBorder="1" applyAlignment="1" quotePrefix="1">
      <alignment horizontal="center"/>
    </xf>
    <xf numFmtId="41" fontId="6" fillId="0" borderId="8" xfId="0" applyNumberFormat="1" applyFont="1" applyFill="1" applyBorder="1" applyAlignment="1" quotePrefix="1">
      <alignment horizontal="center"/>
    </xf>
    <xf numFmtId="41" fontId="6" fillId="0" borderId="12" xfId="0" applyNumberFormat="1" applyFont="1" applyFill="1" applyBorder="1" applyAlignment="1">
      <alignment horizontal="center"/>
    </xf>
    <xf numFmtId="41" fontId="6" fillId="0" borderId="13" xfId="0" applyNumberFormat="1" applyFont="1" applyFill="1" applyBorder="1" applyAlignment="1" quotePrefix="1">
      <alignment horizontal="center"/>
    </xf>
    <xf numFmtId="41" fontId="6" fillId="0" borderId="12" xfId="0" applyNumberFormat="1" applyFont="1" applyFill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41" fontId="6" fillId="0" borderId="15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 quotePrefix="1">
      <alignment horizontal="center"/>
    </xf>
    <xf numFmtId="41" fontId="6" fillId="0" borderId="16" xfId="0" applyNumberFormat="1" applyFont="1" applyFill="1" applyBorder="1" applyAlignment="1">
      <alignment horizontal="center"/>
    </xf>
    <xf numFmtId="14" fontId="6" fillId="0" borderId="15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41" fontId="6" fillId="0" borderId="19" xfId="0" applyNumberFormat="1" applyFont="1" applyFill="1" applyBorder="1" applyAlignment="1">
      <alignment horizontal="center"/>
    </xf>
    <xf numFmtId="41" fontId="6" fillId="0" borderId="20" xfId="0" applyNumberFormat="1" applyFont="1" applyFill="1" applyBorder="1" applyAlignment="1" quotePrefix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 quotePrefix="1">
      <alignment horizontal="center"/>
    </xf>
    <xf numFmtId="0" fontId="6" fillId="0" borderId="0" xfId="0" applyFont="1" applyFill="1" applyBorder="1" applyAlignment="1" quotePrefix="1">
      <alignment horizontal="left"/>
    </xf>
    <xf numFmtId="165" fontId="6" fillId="0" borderId="15" xfId="16" applyNumberFormat="1" applyFont="1" applyFill="1" applyBorder="1" applyAlignment="1">
      <alignment/>
    </xf>
    <xf numFmtId="165" fontId="6" fillId="0" borderId="12" xfId="16" applyNumberFormat="1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165" fontId="6" fillId="0" borderId="20" xfId="16" applyNumberFormat="1" applyFont="1" applyFill="1" applyBorder="1" applyAlignment="1">
      <alignment/>
    </xf>
    <xf numFmtId="165" fontId="6" fillId="0" borderId="21" xfId="16" applyNumberFormat="1" applyFont="1" applyFill="1" applyBorder="1" applyAlignment="1">
      <alignment horizontal="left"/>
    </xf>
    <xf numFmtId="165" fontId="6" fillId="0" borderId="22" xfId="16" applyNumberFormat="1" applyFont="1" applyFill="1" applyBorder="1" applyAlignment="1">
      <alignment horizontal="left"/>
    </xf>
    <xf numFmtId="165" fontId="6" fillId="0" borderId="19" xfId="16" applyNumberFormat="1" applyFont="1" applyFill="1" applyBorder="1" applyAlignment="1">
      <alignment/>
    </xf>
    <xf numFmtId="165" fontId="9" fillId="0" borderId="15" xfId="16" applyNumberFormat="1" applyFont="1" applyFill="1" applyBorder="1" applyAlignment="1">
      <alignment/>
    </xf>
    <xf numFmtId="165" fontId="9" fillId="0" borderId="12" xfId="16" applyNumberFormat="1" applyFont="1" applyFill="1" applyBorder="1" applyAlignment="1">
      <alignment/>
    </xf>
    <xf numFmtId="0" fontId="6" fillId="0" borderId="18" xfId="0" applyFont="1" applyFill="1" applyBorder="1" applyAlignment="1" quotePrefix="1">
      <alignment horizontal="left"/>
    </xf>
    <xf numFmtId="165" fontId="6" fillId="0" borderId="21" xfId="16" applyNumberFormat="1" applyFont="1" applyFill="1" applyBorder="1" applyAlignment="1">
      <alignment/>
    </xf>
    <xf numFmtId="165" fontId="6" fillId="0" borderId="22" xfId="16" applyNumberFormat="1" applyFont="1" applyFill="1" applyBorder="1" applyAlignment="1">
      <alignment/>
    </xf>
    <xf numFmtId="0" fontId="6" fillId="0" borderId="19" xfId="0" applyFont="1" applyFill="1" applyBorder="1" applyAlignment="1" quotePrefix="1">
      <alignment horizontal="center"/>
    </xf>
    <xf numFmtId="165" fontId="6" fillId="0" borderId="0" xfId="16" applyNumberFormat="1" applyFont="1" applyFill="1" applyBorder="1" applyAlignment="1">
      <alignment/>
    </xf>
    <xf numFmtId="165" fontId="6" fillId="0" borderId="19" xfId="16" applyNumberFormat="1" applyFont="1" applyFill="1" applyBorder="1" applyAlignment="1">
      <alignment horizontal="center"/>
    </xf>
    <xf numFmtId="165" fontId="6" fillId="0" borderId="15" xfId="16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6" fillId="0" borderId="19" xfId="0" applyFont="1" applyFill="1" applyBorder="1" applyAlignment="1" quotePrefix="1">
      <alignment horizontal="left"/>
    </xf>
    <xf numFmtId="0" fontId="6" fillId="0" borderId="23" xfId="0" applyFont="1" applyFill="1" applyBorder="1" applyAlignment="1" quotePrefix="1">
      <alignment horizontal="center"/>
    </xf>
    <xf numFmtId="0" fontId="6" fillId="0" borderId="24" xfId="0" applyFont="1" applyFill="1" applyBorder="1" applyAlignment="1">
      <alignment/>
    </xf>
    <xf numFmtId="165" fontId="6" fillId="0" borderId="23" xfId="16" applyNumberFormat="1" applyFont="1" applyFill="1" applyBorder="1" applyAlignment="1">
      <alignment/>
    </xf>
    <xf numFmtId="165" fontId="6" fillId="0" borderId="25" xfId="16" applyNumberFormat="1" applyFont="1" applyFill="1" applyBorder="1" applyAlignment="1">
      <alignment/>
    </xf>
    <xf numFmtId="165" fontId="6" fillId="0" borderId="16" xfId="16" applyNumberFormat="1" applyFont="1" applyFill="1" applyBorder="1" applyAlignment="1">
      <alignment/>
    </xf>
    <xf numFmtId="165" fontId="6" fillId="0" borderId="26" xfId="16" applyNumberFormat="1" applyFont="1" applyFill="1" applyBorder="1" applyAlignment="1">
      <alignment/>
    </xf>
    <xf numFmtId="165" fontId="9" fillId="0" borderId="16" xfId="16" applyNumberFormat="1" applyFont="1" applyFill="1" applyBorder="1" applyAlignment="1">
      <alignment/>
    </xf>
    <xf numFmtId="166" fontId="6" fillId="0" borderId="19" xfId="16" applyNumberFormat="1" applyFont="1" applyFill="1" applyBorder="1" applyAlignment="1">
      <alignment/>
    </xf>
    <xf numFmtId="2" fontId="6" fillId="0" borderId="20" xfId="16" applyNumberFormat="1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43" fontId="6" fillId="0" borderId="23" xfId="16" applyFont="1" applyFill="1" applyBorder="1" applyAlignment="1">
      <alignment/>
    </xf>
    <xf numFmtId="43" fontId="6" fillId="0" borderId="25" xfId="16" applyFont="1" applyFill="1" applyBorder="1" applyAlignment="1">
      <alignment/>
    </xf>
    <xf numFmtId="43" fontId="6" fillId="0" borderId="27" xfId="16" applyFont="1" applyFill="1" applyBorder="1" applyAlignment="1">
      <alignment/>
    </xf>
    <xf numFmtId="165" fontId="6" fillId="0" borderId="0" xfId="16" applyNumberFormat="1" applyFont="1" applyAlignment="1">
      <alignment/>
    </xf>
    <xf numFmtId="0" fontId="9" fillId="0" borderId="0" xfId="0" applyFont="1" applyAlignment="1">
      <alignment/>
    </xf>
    <xf numFmtId="165" fontId="6" fillId="0" borderId="3" xfId="16" applyNumberFormat="1" applyFont="1" applyFill="1" applyBorder="1" applyAlignment="1">
      <alignment/>
    </xf>
    <xf numFmtId="165" fontId="6" fillId="0" borderId="2" xfId="16" applyNumberFormat="1" applyFont="1" applyFill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3" fontId="5" fillId="0" borderId="0" xfId="16" applyFont="1" applyAlignment="1">
      <alignment horizontal="left"/>
    </xf>
    <xf numFmtId="0" fontId="12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14" fontId="8" fillId="0" borderId="0" xfId="0" applyNumberFormat="1" applyFont="1" applyFill="1" applyAlignment="1">
      <alignment horizontal="center"/>
    </xf>
    <xf numFmtId="14" fontId="8" fillId="0" borderId="0" xfId="0" applyNumberFormat="1" applyFont="1" applyAlignment="1" quotePrefix="1">
      <alignment horizontal="center"/>
    </xf>
    <xf numFmtId="14" fontId="8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 horizontal="left"/>
    </xf>
    <xf numFmtId="165" fontId="6" fillId="0" borderId="0" xfId="16" applyNumberFormat="1" applyFont="1" applyFill="1" applyAlignment="1">
      <alignment/>
    </xf>
    <xf numFmtId="0" fontId="13" fillId="0" borderId="0" xfId="0" applyFont="1" applyAlignment="1">
      <alignment/>
    </xf>
    <xf numFmtId="165" fontId="6" fillId="0" borderId="3" xfId="16" applyNumberFormat="1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5" fontId="6" fillId="0" borderId="1" xfId="16" applyNumberFormat="1" applyFont="1" applyFill="1" applyBorder="1" applyAlignment="1">
      <alignment/>
    </xf>
    <xf numFmtId="165" fontId="6" fillId="0" borderId="1" xfId="16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165" fontId="6" fillId="0" borderId="0" xfId="16" applyNumberFormat="1" applyFont="1" applyBorder="1" applyAlignment="1">
      <alignment/>
    </xf>
    <xf numFmtId="38" fontId="6" fillId="0" borderId="0" xfId="0" applyNumberFormat="1" applyFont="1" applyBorder="1" applyAlignment="1">
      <alignment/>
    </xf>
    <xf numFmtId="41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5" fontId="8" fillId="0" borderId="28" xfId="16" applyNumberFormat="1" applyFont="1" applyFill="1" applyBorder="1" applyAlignment="1">
      <alignment/>
    </xf>
    <xf numFmtId="165" fontId="8" fillId="0" borderId="28" xfId="16" applyNumberFormat="1" applyFont="1" applyBorder="1" applyAlignment="1">
      <alignment/>
    </xf>
    <xf numFmtId="38" fontId="8" fillId="0" borderId="28" xfId="0" applyNumberFormat="1" applyFont="1" applyBorder="1" applyAlignment="1">
      <alignment/>
    </xf>
    <xf numFmtId="43" fontId="6" fillId="0" borderId="0" xfId="16" applyFont="1" applyFill="1" applyAlignment="1">
      <alignment/>
    </xf>
    <xf numFmtId="0" fontId="6" fillId="0" borderId="3" xfId="0" applyFont="1" applyBorder="1" applyAlignment="1">
      <alignment/>
    </xf>
    <xf numFmtId="165" fontId="6" fillId="0" borderId="0" xfId="0" applyNumberFormat="1" applyFont="1" applyFill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Border="1" applyAlignment="1">
      <alignment/>
    </xf>
    <xf numFmtId="165" fontId="8" fillId="0" borderId="28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165" fontId="8" fillId="0" borderId="28" xfId="0" applyNumberFormat="1" applyFont="1" applyBorder="1" applyAlignment="1">
      <alignment/>
    </xf>
    <xf numFmtId="43" fontId="1" fillId="0" borderId="0" xfId="16" applyFont="1" applyAlignment="1">
      <alignment/>
    </xf>
    <xf numFmtId="0" fontId="7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0" xfId="16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43" fontId="12" fillId="0" borderId="0" xfId="16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left"/>
    </xf>
    <xf numFmtId="165" fontId="1" fillId="0" borderId="0" xfId="16" applyNumberFormat="1" applyFont="1" applyBorder="1" applyAlignment="1">
      <alignment/>
    </xf>
    <xf numFmtId="165" fontId="1" fillId="0" borderId="0" xfId="16" applyNumberFormat="1" applyFont="1" applyAlignment="1">
      <alignment/>
    </xf>
    <xf numFmtId="0" fontId="1" fillId="0" borderId="0" xfId="0" applyFont="1" applyAlignment="1" quotePrefix="1">
      <alignment horizontal="left"/>
    </xf>
    <xf numFmtId="165" fontId="1" fillId="0" borderId="3" xfId="16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28" xfId="16" applyNumberFormat="1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0" xfId="0" applyFont="1" applyAlignment="1">
      <alignment horizontal="left"/>
    </xf>
  </cellXfs>
  <cellStyles count="9">
    <cellStyle name="Normal" xfId="0"/>
    <cellStyle name="??_Sheet2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Q3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SE-BS"/>
      <sheetName val="KLSE-PL"/>
      <sheetName val="CFlow (2)"/>
      <sheetName val="A3"/>
      <sheetName val="SCE"/>
      <sheetName val="CBS 0905"/>
      <sheetName val="CPL0305"/>
      <sheetName val="CPL1204"/>
      <sheetName val="CPL0904"/>
      <sheetName val="CPLCUM0305"/>
      <sheetName val="Cashflow"/>
      <sheetName val="CFlow"/>
      <sheetName val="ConsADJ-current qtr"/>
      <sheetName val="Int Working"/>
      <sheetName val="Sheet1"/>
      <sheetName val="Diluted EPS "/>
    </sheetNames>
    <sheetDataSet>
      <sheetData sheetId="0">
        <row r="28">
          <cell r="B28">
            <v>502519.24000000005</v>
          </cell>
        </row>
        <row r="54">
          <cell r="B54">
            <v>-253339.48</v>
          </cell>
        </row>
      </sheetData>
      <sheetData sheetId="5">
        <row r="7">
          <cell r="M7">
            <v>4424381.1</v>
          </cell>
        </row>
        <row r="9">
          <cell r="M9">
            <v>1383147.58</v>
          </cell>
        </row>
        <row r="11">
          <cell r="M11">
            <v>17097836.72</v>
          </cell>
        </row>
        <row r="12">
          <cell r="M12">
            <v>26000</v>
          </cell>
        </row>
        <row r="13">
          <cell r="M13">
            <v>2773731.3999999994</v>
          </cell>
        </row>
        <row r="16">
          <cell r="M16">
            <v>7400552.120000005</v>
          </cell>
        </row>
        <row r="17">
          <cell r="M17">
            <v>23379976.020000007</v>
          </cell>
        </row>
        <row r="20">
          <cell r="M20">
            <v>2871350.25</v>
          </cell>
        </row>
        <row r="23">
          <cell r="M23">
            <v>1218461.8</v>
          </cell>
        </row>
        <row r="24">
          <cell r="M24">
            <v>502519.24000000005</v>
          </cell>
          <cell r="Q24">
            <v>751940</v>
          </cell>
        </row>
        <row r="28">
          <cell r="M28">
            <v>-2146207.2300000004</v>
          </cell>
        </row>
        <row r="30">
          <cell r="M30">
            <v>-2468555.809999992</v>
          </cell>
        </row>
        <row r="33">
          <cell r="M33">
            <v>-9074392.09</v>
          </cell>
        </row>
        <row r="34">
          <cell r="M34">
            <v>-106502</v>
          </cell>
        </row>
        <row r="35">
          <cell r="M35">
            <v>-378130.12</v>
          </cell>
        </row>
        <row r="36">
          <cell r="M36">
            <v>-155092.18</v>
          </cell>
        </row>
        <row r="37">
          <cell r="M37">
            <v>-2807611</v>
          </cell>
        </row>
        <row r="38">
          <cell r="M38">
            <v>-16000</v>
          </cell>
        </row>
        <row r="45">
          <cell r="M45">
            <v>-20285</v>
          </cell>
        </row>
        <row r="46">
          <cell r="M46">
            <v>-20805119.87</v>
          </cell>
        </row>
        <row r="49">
          <cell r="M49">
            <v>-139574.935</v>
          </cell>
        </row>
        <row r="54">
          <cell r="M54">
            <v>41853599</v>
          </cell>
        </row>
        <row r="55">
          <cell r="M55">
            <v>965154.5199999996</v>
          </cell>
        </row>
        <row r="56">
          <cell r="M56">
            <v>-28582183.044999994</v>
          </cell>
        </row>
        <row r="57">
          <cell r="M57">
            <v>8977255</v>
          </cell>
        </row>
        <row r="58">
          <cell r="M58">
            <v>-253339.48</v>
          </cell>
        </row>
      </sheetData>
      <sheetData sheetId="6">
        <row r="8">
          <cell r="M8">
            <v>14146734.479999993</v>
          </cell>
        </row>
        <row r="14">
          <cell r="M14">
            <v>28049.62999999999</v>
          </cell>
        </row>
        <row r="28">
          <cell r="M28">
            <v>2010841.9999999544</v>
          </cell>
        </row>
        <row r="30">
          <cell r="M30">
            <v>-42564.46999999997</v>
          </cell>
        </row>
        <row r="32">
          <cell r="M32">
            <v>-141995.18999999997</v>
          </cell>
        </row>
        <row r="34">
          <cell r="M34">
            <v>-406740.1900000002</v>
          </cell>
        </row>
        <row r="36">
          <cell r="M36">
            <v>-52274.039999999986</v>
          </cell>
        </row>
        <row r="40">
          <cell r="M40">
            <v>0</v>
          </cell>
        </row>
        <row r="42">
          <cell r="M42">
            <v>-18863.28</v>
          </cell>
        </row>
        <row r="46">
          <cell r="M46">
            <v>19955.538900000043</v>
          </cell>
        </row>
      </sheetData>
      <sheetData sheetId="9">
        <row r="8">
          <cell r="M8">
            <v>43068617.20999999</v>
          </cell>
        </row>
        <row r="14">
          <cell r="M14">
            <v>112650.84</v>
          </cell>
        </row>
        <row r="28">
          <cell r="M28">
            <v>5888157.810000005</v>
          </cell>
        </row>
        <row r="30">
          <cell r="M30">
            <v>-725035.85</v>
          </cell>
        </row>
        <row r="32">
          <cell r="M32">
            <v>-480579.29</v>
          </cell>
        </row>
        <row r="34">
          <cell r="M34">
            <v>-1349813.8900000001</v>
          </cell>
        </row>
        <row r="36">
          <cell r="M36">
            <v>-156822.12</v>
          </cell>
        </row>
        <row r="40">
          <cell r="M40">
            <v>30000</v>
          </cell>
        </row>
        <row r="42">
          <cell r="M42">
            <v>-18863.28</v>
          </cell>
        </row>
        <row r="46">
          <cell r="M46">
            <v>-17266.42499999998</v>
          </cell>
        </row>
        <row r="48">
          <cell r="M48">
            <v>3169776.9550000057</v>
          </cell>
        </row>
      </sheetData>
      <sheetData sheetId="10">
        <row r="12">
          <cell r="C12">
            <v>3205906.5500000054</v>
          </cell>
        </row>
        <row r="15">
          <cell r="C15">
            <v>1332437.2600000005</v>
          </cell>
        </row>
        <row r="21">
          <cell r="C21">
            <v>-301040.10000001173</v>
          </cell>
        </row>
        <row r="23">
          <cell r="C23">
            <v>-3784005.8700000076</v>
          </cell>
        </row>
        <row r="26">
          <cell r="C26">
            <v>0</v>
          </cell>
        </row>
        <row r="27">
          <cell r="C27">
            <v>-21827</v>
          </cell>
        </row>
        <row r="28">
          <cell r="C28">
            <v>0</v>
          </cell>
        </row>
        <row r="33">
          <cell r="C33">
            <v>-84596</v>
          </cell>
        </row>
        <row r="34">
          <cell r="C34">
            <v>0</v>
          </cell>
        </row>
        <row r="35">
          <cell r="C35">
            <v>0</v>
          </cell>
        </row>
        <row r="40">
          <cell r="C40">
            <v>878000</v>
          </cell>
        </row>
        <row r="41">
          <cell r="C41">
            <v>-953357.129999999</v>
          </cell>
        </row>
        <row r="42">
          <cell r="C42">
            <v>-13678</v>
          </cell>
        </row>
        <row r="43">
          <cell r="C43">
            <v>0</v>
          </cell>
        </row>
        <row r="44">
          <cell r="C44">
            <v>-253339</v>
          </cell>
        </row>
        <row r="45">
          <cell r="C45">
            <v>-12591</v>
          </cell>
        </row>
        <row r="46">
          <cell r="C46">
            <v>-9711</v>
          </cell>
        </row>
        <row r="54">
          <cell r="C54">
            <v>1360652</v>
          </cell>
        </row>
        <row r="65">
          <cell r="C65">
            <v>1218461.8</v>
          </cell>
        </row>
        <row r="69">
          <cell r="C69">
            <v>-378130.12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52.421875" style="4" customWidth="1"/>
    <col min="2" max="2" width="20.57421875" style="57" customWidth="1"/>
    <col min="3" max="3" width="0.85546875" style="9" customWidth="1"/>
    <col min="4" max="4" width="19.57421875" style="9" customWidth="1"/>
    <col min="5" max="5" width="15.140625" style="4" bestFit="1" customWidth="1"/>
    <col min="6" max="6" width="17.8515625" style="4" customWidth="1"/>
    <col min="7" max="7" width="9.140625" style="4" customWidth="1"/>
    <col min="8" max="8" width="12.140625" style="4" customWidth="1"/>
    <col min="9" max="16384" width="9.140625" style="4" customWidth="1"/>
  </cols>
  <sheetData>
    <row r="1" spans="1:4" ht="19.5">
      <c r="A1" s="1" t="s">
        <v>0</v>
      </c>
      <c r="B1" s="2"/>
      <c r="C1" s="3"/>
      <c r="D1" s="3"/>
    </row>
    <row r="2" spans="1:4" ht="19.5">
      <c r="A2" s="1" t="s">
        <v>1</v>
      </c>
      <c r="B2" s="2"/>
      <c r="C2" s="3"/>
      <c r="D2" s="3"/>
    </row>
    <row r="3" spans="1:4" ht="18.75">
      <c r="A3" s="5"/>
      <c r="B3" s="2"/>
      <c r="C3" s="3"/>
      <c r="D3" s="3"/>
    </row>
    <row r="4" spans="1:4" ht="18.75">
      <c r="A4" s="6" t="s">
        <v>2</v>
      </c>
      <c r="B4" s="2"/>
      <c r="C4" s="3"/>
      <c r="D4" s="3"/>
    </row>
    <row r="5" spans="1:4" ht="18.75">
      <c r="A5" s="7" t="s">
        <v>3</v>
      </c>
      <c r="B5" s="2"/>
      <c r="C5" s="3"/>
      <c r="D5" s="3"/>
    </row>
    <row r="6" spans="1:6" ht="18.75">
      <c r="A6" s="8"/>
      <c r="B6" s="8"/>
      <c r="C6" s="8"/>
      <c r="D6" s="2"/>
      <c r="F6" s="9"/>
    </row>
    <row r="7" spans="1:6" ht="18.75">
      <c r="A7" s="10"/>
      <c r="B7" s="11" t="s">
        <v>4</v>
      </c>
      <c r="C7" s="10"/>
      <c r="D7" s="12" t="s">
        <v>5</v>
      </c>
      <c r="F7" s="9"/>
    </row>
    <row r="8" spans="1:6" ht="18.75">
      <c r="A8" s="13"/>
      <c r="B8" s="14" t="s">
        <v>6</v>
      </c>
      <c r="C8" s="13"/>
      <c r="D8" s="14" t="s">
        <v>7</v>
      </c>
      <c r="F8" s="9"/>
    </row>
    <row r="9" spans="1:6" ht="18.75">
      <c r="A9" s="13"/>
      <c r="B9" s="15" t="s">
        <v>8</v>
      </c>
      <c r="C9" s="13"/>
      <c r="D9" s="14" t="s">
        <v>9</v>
      </c>
      <c r="F9" s="9"/>
    </row>
    <row r="10" spans="1:6" ht="18.75">
      <c r="A10" s="13"/>
      <c r="B10" s="15" t="s">
        <v>10</v>
      </c>
      <c r="C10" s="13"/>
      <c r="D10" s="14" t="s">
        <v>11</v>
      </c>
      <c r="F10" s="9"/>
    </row>
    <row r="11" spans="1:6" ht="18.75">
      <c r="A11" s="13"/>
      <c r="B11" s="14" t="s">
        <v>12</v>
      </c>
      <c r="C11" s="13"/>
      <c r="D11" s="14" t="s">
        <v>12</v>
      </c>
      <c r="F11" s="9" t="s">
        <v>13</v>
      </c>
    </row>
    <row r="12" spans="1:6" ht="18.75">
      <c r="A12" s="13"/>
      <c r="B12" s="13"/>
      <c r="C12" s="13"/>
      <c r="D12" s="16"/>
      <c r="F12" s="17" t="s">
        <v>13</v>
      </c>
    </row>
    <row r="13" spans="1:6" ht="18.75">
      <c r="A13" s="5" t="s">
        <v>14</v>
      </c>
      <c r="B13" s="18">
        <f>+'[1]CBS 0905'!M7</f>
        <v>4424381.1</v>
      </c>
      <c r="C13" s="5"/>
      <c r="D13" s="19">
        <v>5064821</v>
      </c>
      <c r="E13" s="20"/>
      <c r="F13" s="17"/>
    </row>
    <row r="14" spans="1:6" ht="18.75">
      <c r="A14" s="5"/>
      <c r="B14" s="18"/>
      <c r="C14" s="5"/>
      <c r="D14" s="19"/>
      <c r="E14" s="20"/>
      <c r="F14" s="17"/>
    </row>
    <row r="15" spans="1:6" ht="18.75">
      <c r="A15" s="21" t="s">
        <v>15</v>
      </c>
      <c r="B15" s="18">
        <f>+'[1]CBS 0905'!M11</f>
        <v>17097836.72</v>
      </c>
      <c r="C15" s="21"/>
      <c r="D15" s="19">
        <v>17067837</v>
      </c>
      <c r="E15" s="20"/>
      <c r="F15" s="17"/>
    </row>
    <row r="16" spans="1:6" ht="18.75">
      <c r="A16" s="5"/>
      <c r="B16" s="18"/>
      <c r="C16" s="5"/>
      <c r="D16" s="19"/>
      <c r="E16" s="20"/>
      <c r="F16" s="17"/>
    </row>
    <row r="17" spans="1:6" ht="18.75">
      <c r="A17" s="5" t="s">
        <v>16</v>
      </c>
      <c r="B17" s="18">
        <f>+'[1]CBS 0905'!M13</f>
        <v>2773731.3999999994</v>
      </c>
      <c r="C17" s="5"/>
      <c r="D17" s="19">
        <v>2930554</v>
      </c>
      <c r="E17" s="20"/>
      <c r="F17" s="17"/>
    </row>
    <row r="18" spans="1:6" ht="18.75">
      <c r="A18" s="5"/>
      <c r="B18" s="18"/>
      <c r="C18" s="5"/>
      <c r="D18" s="19"/>
      <c r="E18" s="20"/>
      <c r="F18" s="17"/>
    </row>
    <row r="19" spans="1:6" ht="18.75">
      <c r="A19" s="5" t="s">
        <v>17</v>
      </c>
      <c r="B19" s="18">
        <f>+'[1]CBS 0905'!M9</f>
        <v>1383147.58</v>
      </c>
      <c r="C19" s="5"/>
      <c r="D19" s="19">
        <v>1863727</v>
      </c>
      <c r="E19" s="20"/>
      <c r="F19" s="17"/>
    </row>
    <row r="20" spans="1:6" ht="18.75">
      <c r="A20" s="5"/>
      <c r="B20" s="18"/>
      <c r="C20" s="5"/>
      <c r="D20" s="19"/>
      <c r="E20" s="20"/>
      <c r="F20" s="22"/>
    </row>
    <row r="21" spans="1:6" ht="18.75">
      <c r="A21" s="21" t="s">
        <v>18</v>
      </c>
      <c r="B21" s="18">
        <f>+'[1]CBS 0905'!M12</f>
        <v>26000</v>
      </c>
      <c r="C21" s="21"/>
      <c r="D21" s="19">
        <v>26000</v>
      </c>
      <c r="E21" s="20"/>
      <c r="F21" s="22"/>
    </row>
    <row r="22" spans="1:6" ht="18.75">
      <c r="A22" s="23"/>
      <c r="B22" s="18"/>
      <c r="C22" s="23"/>
      <c r="D22" s="19"/>
      <c r="E22" s="20"/>
      <c r="F22" s="17"/>
    </row>
    <row r="23" spans="1:6" ht="18.75">
      <c r="A23" s="24" t="s">
        <v>19</v>
      </c>
      <c r="B23" s="18"/>
      <c r="C23" s="24"/>
      <c r="D23" s="19"/>
      <c r="E23" s="20"/>
      <c r="F23" s="17"/>
    </row>
    <row r="24" spans="1:6" ht="18.75">
      <c r="A24" s="23" t="s">
        <v>20</v>
      </c>
      <c r="B24" s="18">
        <f>+'[1]CBS 0905'!M16</f>
        <v>7400552.120000005</v>
      </c>
      <c r="C24" s="23"/>
      <c r="D24" s="19">
        <v>7605948.29</v>
      </c>
      <c r="E24" s="20"/>
      <c r="F24" s="17"/>
    </row>
    <row r="25" spans="1:6" ht="18.75">
      <c r="A25" s="23" t="s">
        <v>21</v>
      </c>
      <c r="B25" s="18">
        <f>+'[1]CBS 0905'!M17</f>
        <v>23379976.020000007</v>
      </c>
      <c r="C25" s="23"/>
      <c r="D25" s="19">
        <v>22563329</v>
      </c>
      <c r="E25" s="20"/>
      <c r="F25" s="17"/>
    </row>
    <row r="26" spans="1:6" ht="18.75">
      <c r="A26" s="23" t="s">
        <v>22</v>
      </c>
      <c r="B26" s="18">
        <f>+'[1]CBS 0905'!M20</f>
        <v>2871350.25</v>
      </c>
      <c r="C26" s="23"/>
      <c r="D26" s="19">
        <v>3181561</v>
      </c>
      <c r="E26" s="20"/>
      <c r="F26" s="17"/>
    </row>
    <row r="27" spans="1:6" ht="18.75">
      <c r="A27" s="23" t="s">
        <v>23</v>
      </c>
      <c r="B27" s="18">
        <f>+'[1]CBS 0905'!M23</f>
        <v>1218461.8</v>
      </c>
      <c r="C27" s="23"/>
      <c r="D27" s="19">
        <v>984734</v>
      </c>
      <c r="E27" s="20"/>
      <c r="F27" s="17"/>
    </row>
    <row r="28" spans="1:6" ht="18.75">
      <c r="A28" s="23" t="s">
        <v>24</v>
      </c>
      <c r="B28" s="25">
        <f>+'[1]CBS 0905'!M24</f>
        <v>502519.24000000005</v>
      </c>
      <c r="C28" s="23"/>
      <c r="D28" s="26">
        <v>751940</v>
      </c>
      <c r="E28" s="20"/>
      <c r="F28" s="17"/>
    </row>
    <row r="29" spans="1:6" ht="18.75">
      <c r="A29" s="23"/>
      <c r="B29" s="27"/>
      <c r="C29" s="23"/>
      <c r="D29" s="28"/>
      <c r="E29" s="20"/>
      <c r="F29" s="17"/>
    </row>
    <row r="30" spans="1:6" ht="18.75">
      <c r="A30" s="29"/>
      <c r="B30" s="30">
        <f>SUM(B24:B29)</f>
        <v>35372859.430000015</v>
      </c>
      <c r="C30" s="29"/>
      <c r="D30" s="31">
        <f>SUM(D22:D29)</f>
        <v>35087512.29</v>
      </c>
      <c r="E30" s="20"/>
      <c r="F30" s="22"/>
    </row>
    <row r="31" spans="1:6" ht="18.75">
      <c r="A31" s="23"/>
      <c r="B31" s="18"/>
      <c r="C31" s="23"/>
      <c r="D31" s="19"/>
      <c r="E31" s="20"/>
      <c r="F31" s="22"/>
    </row>
    <row r="32" spans="1:6" ht="18.75">
      <c r="A32" s="24" t="s">
        <v>25</v>
      </c>
      <c r="B32" s="18"/>
      <c r="C32" s="24"/>
      <c r="D32" s="19" t="s">
        <v>13</v>
      </c>
      <c r="E32" s="20"/>
      <c r="F32" s="17"/>
    </row>
    <row r="33" spans="1:6" ht="18.75">
      <c r="A33" s="23" t="s">
        <v>26</v>
      </c>
      <c r="B33" s="18">
        <f>-'[1]CBS 0905'!M28</f>
        <v>2146207.2300000004</v>
      </c>
      <c r="C33" s="23"/>
      <c r="D33" s="19">
        <v>2150860</v>
      </c>
      <c r="E33" s="20"/>
      <c r="F33" s="17"/>
    </row>
    <row r="34" spans="1:6" ht="18.75">
      <c r="A34" s="32" t="s">
        <v>27</v>
      </c>
      <c r="B34" s="18">
        <f>-'[1]CBS 0905'!M30</f>
        <v>2468555.809999992</v>
      </c>
      <c r="C34" s="32"/>
      <c r="D34" s="19">
        <v>4152280</v>
      </c>
      <c r="E34" s="20"/>
      <c r="F34" s="17"/>
    </row>
    <row r="35" spans="1:6" ht="18.75">
      <c r="A35" s="33" t="s">
        <v>28</v>
      </c>
      <c r="B35" s="18">
        <f>-'[1]CBS 0905'!M33</f>
        <v>9074392.09</v>
      </c>
      <c r="C35" s="33"/>
      <c r="D35" s="19">
        <v>11170021</v>
      </c>
      <c r="E35" s="20"/>
      <c r="F35" s="17"/>
    </row>
    <row r="36" spans="1:6" ht="18.75">
      <c r="A36" s="23" t="s">
        <v>29</v>
      </c>
      <c r="B36" s="18">
        <f>-'[1]CBS 0905'!M34</f>
        <v>106502</v>
      </c>
      <c r="C36" s="23"/>
      <c r="D36" s="19">
        <v>106502</v>
      </c>
      <c r="E36" s="20"/>
      <c r="F36" s="17"/>
    </row>
    <row r="37" spans="1:6" ht="18.75">
      <c r="A37" s="23" t="s">
        <v>30</v>
      </c>
      <c r="B37" s="18"/>
      <c r="C37" s="23"/>
      <c r="D37" s="19"/>
      <c r="E37" s="20"/>
      <c r="F37" s="17"/>
    </row>
    <row r="38" spans="1:6" ht="18.75">
      <c r="A38" s="32" t="s">
        <v>31</v>
      </c>
      <c r="B38" s="18">
        <f>-'[1]CBS 0905'!M36</f>
        <v>155092.18</v>
      </c>
      <c r="C38" s="32"/>
      <c r="D38" s="19">
        <f>152152+10340</f>
        <v>162492</v>
      </c>
      <c r="E38" s="20"/>
      <c r="F38" s="17"/>
    </row>
    <row r="39" spans="1:6" ht="18.75">
      <c r="A39" s="34" t="s">
        <v>32</v>
      </c>
      <c r="B39" s="35">
        <f>-'[1]CBS 0905'!M37</f>
        <v>2807611</v>
      </c>
      <c r="C39" s="32"/>
      <c r="D39" s="36">
        <v>3472727</v>
      </c>
      <c r="E39" s="20"/>
      <c r="F39" s="17"/>
    </row>
    <row r="40" spans="1:6" ht="18.75">
      <c r="A40" s="34" t="s">
        <v>33</v>
      </c>
      <c r="B40" s="35">
        <f>-'[1]CBS 0905'!M35</f>
        <v>378130.12</v>
      </c>
      <c r="C40" s="32"/>
      <c r="D40" s="19">
        <v>376022</v>
      </c>
      <c r="E40" s="20"/>
      <c r="F40" s="17"/>
    </row>
    <row r="41" spans="1:6" ht="18.75">
      <c r="A41" s="23" t="s">
        <v>34</v>
      </c>
      <c r="B41" s="18">
        <f>-'[1]CBS 0905'!M38</f>
        <v>16000</v>
      </c>
      <c r="C41" s="23"/>
      <c r="D41" s="19">
        <v>16796</v>
      </c>
      <c r="E41" s="20"/>
      <c r="F41" s="17"/>
    </row>
    <row r="42" spans="1:6" ht="18.75">
      <c r="A42" s="23"/>
      <c r="B42" s="37">
        <f>SUM(B33:B41)</f>
        <v>17152490.429999992</v>
      </c>
      <c r="C42" s="23"/>
      <c r="D42" s="38">
        <f>SUM(D33:D41)</f>
        <v>21607700</v>
      </c>
      <c r="E42" s="20"/>
      <c r="F42" s="17"/>
    </row>
    <row r="43" spans="1:6" ht="18.75">
      <c r="A43" s="23"/>
      <c r="B43" s="18"/>
      <c r="C43" s="23"/>
      <c r="D43" s="19"/>
      <c r="E43" s="20"/>
      <c r="F43" s="17"/>
    </row>
    <row r="44" spans="1:6" ht="18.75">
      <c r="A44" s="39" t="s">
        <v>35</v>
      </c>
      <c r="B44" s="40">
        <f>B30-B42</f>
        <v>18220369.000000022</v>
      </c>
      <c r="C44" s="24"/>
      <c r="D44" s="41">
        <f>-D42+D30</f>
        <v>13479812.29</v>
      </c>
      <c r="E44" s="20"/>
      <c r="F44" s="22"/>
    </row>
    <row r="45" spans="1:6" ht="18.75">
      <c r="A45" s="23"/>
      <c r="B45" s="18" t="s">
        <v>13</v>
      </c>
      <c r="C45" s="23"/>
      <c r="D45" s="19" t="s">
        <v>13</v>
      </c>
      <c r="E45" s="20"/>
      <c r="F45" s="22"/>
    </row>
    <row r="46" spans="1:6" ht="19.5" thickBot="1">
      <c r="A46" s="39" t="s">
        <v>36</v>
      </c>
      <c r="B46" s="42">
        <f>SUM(B13:B21)+B44</f>
        <v>43925465.80000002</v>
      </c>
      <c r="C46" s="24"/>
      <c r="D46" s="43">
        <f>SUM(D13:D21)+D44</f>
        <v>40432751.29</v>
      </c>
      <c r="E46" s="20"/>
      <c r="F46" s="17"/>
    </row>
    <row r="47" spans="1:6" ht="19.5" thickTop="1">
      <c r="A47" s="24"/>
      <c r="B47" s="18"/>
      <c r="C47" s="24"/>
      <c r="D47" s="19"/>
      <c r="E47" s="20"/>
      <c r="F47" s="22"/>
    </row>
    <row r="48" spans="1:6" ht="18.75">
      <c r="A48" s="24"/>
      <c r="B48" s="18"/>
      <c r="C48" s="24"/>
      <c r="D48" s="19"/>
      <c r="E48" s="20"/>
      <c r="F48" s="22"/>
    </row>
    <row r="49" spans="1:6" ht="18.75">
      <c r="A49" s="44" t="s">
        <v>37</v>
      </c>
      <c r="B49" s="18"/>
      <c r="C49" s="44"/>
      <c r="D49" s="19"/>
      <c r="E49" s="20"/>
      <c r="F49" s="22"/>
    </row>
    <row r="50" spans="1:6" ht="18.75">
      <c r="A50" s="23" t="s">
        <v>38</v>
      </c>
      <c r="B50" s="18">
        <f>+'[1]CBS 0905'!M54</f>
        <v>41853599</v>
      </c>
      <c r="C50" s="23"/>
      <c r="D50" s="19">
        <v>40789657</v>
      </c>
      <c r="E50" s="20"/>
      <c r="F50" s="17"/>
    </row>
    <row r="51" spans="1:6" ht="18.75">
      <c r="A51" s="45" t="s">
        <v>39</v>
      </c>
      <c r="B51" s="18"/>
      <c r="C51" s="45"/>
      <c r="D51" s="19"/>
      <c r="E51" s="20"/>
      <c r="F51" s="17"/>
    </row>
    <row r="52" spans="1:6" ht="18.75">
      <c r="A52" s="23" t="s">
        <v>40</v>
      </c>
      <c r="B52" s="25">
        <f>+'[1]CBS 0905'!M55</f>
        <v>965154.5199999996</v>
      </c>
      <c r="C52" s="23"/>
      <c r="D52" s="26">
        <v>885196.52</v>
      </c>
      <c r="E52" s="20"/>
      <c r="F52" s="17"/>
    </row>
    <row r="53" spans="1:6" ht="18.75">
      <c r="A53" s="23" t="s">
        <v>41</v>
      </c>
      <c r="B53" s="25">
        <f>+'[1]CBS 0905'!M56</f>
        <v>-28582183.044999994</v>
      </c>
      <c r="C53" s="23"/>
      <c r="D53" s="26">
        <f>-31751960+567921-1</f>
        <v>-31184040</v>
      </c>
      <c r="E53" s="20"/>
      <c r="F53" s="17"/>
    </row>
    <row r="54" spans="1:6" ht="18.75">
      <c r="A54" s="32" t="s">
        <v>42</v>
      </c>
      <c r="B54" s="25">
        <f>+'[1]CBS 0905'!M58</f>
        <v>-253339.48</v>
      </c>
      <c r="C54" s="32"/>
      <c r="D54" s="26">
        <v>-567921.18</v>
      </c>
      <c r="E54" s="20"/>
      <c r="F54" s="17"/>
    </row>
    <row r="55" spans="1:6" ht="18.75">
      <c r="A55" s="23" t="s">
        <v>43</v>
      </c>
      <c r="B55" s="46">
        <f>+'[1]CBS 0905'!M57</f>
        <v>8977255</v>
      </c>
      <c r="C55" s="47"/>
      <c r="D55" s="48">
        <v>9243155</v>
      </c>
      <c r="E55" s="20"/>
      <c r="F55" s="17"/>
    </row>
    <row r="56" spans="1:6" ht="18.75">
      <c r="A56" s="24"/>
      <c r="B56" s="49">
        <f>SUM(B50:B55)</f>
        <v>22960485.995</v>
      </c>
      <c r="C56" s="24"/>
      <c r="D56" s="50">
        <f>SUM(D50:D55)</f>
        <v>19166047.340000004</v>
      </c>
      <c r="E56" s="20"/>
      <c r="F56" s="9"/>
    </row>
    <row r="57" spans="1:6" ht="18.75">
      <c r="A57" s="23"/>
      <c r="B57" s="49"/>
      <c r="C57" s="23"/>
      <c r="D57" s="50"/>
      <c r="E57" s="20"/>
      <c r="F57" s="9"/>
    </row>
    <row r="58" spans="1:6" ht="18.75">
      <c r="A58" s="5" t="s">
        <v>44</v>
      </c>
      <c r="B58" s="49">
        <f>-'[1]CBS 0905'!M49</f>
        <v>139574.935</v>
      </c>
      <c r="C58" s="5"/>
      <c r="D58" s="50">
        <v>119678</v>
      </c>
      <c r="E58" s="20"/>
      <c r="F58" s="9"/>
    </row>
    <row r="59" spans="1:6" ht="18.75">
      <c r="A59" s="23"/>
      <c r="B59" s="49"/>
      <c r="C59" s="23"/>
      <c r="D59" s="50"/>
      <c r="E59" s="20"/>
      <c r="F59" s="9"/>
    </row>
    <row r="60" spans="1:6" ht="18.75">
      <c r="A60" s="5" t="s">
        <v>45</v>
      </c>
      <c r="B60" s="49"/>
      <c r="C60" s="5"/>
      <c r="D60" s="50"/>
      <c r="E60" s="20"/>
      <c r="F60" s="9"/>
    </row>
    <row r="61" spans="1:6" ht="18.75">
      <c r="A61" s="23" t="s">
        <v>46</v>
      </c>
      <c r="B61" s="18">
        <f>-'[1]CBS 0905'!M46</f>
        <v>20805119.87</v>
      </c>
      <c r="C61" s="23"/>
      <c r="D61" s="19">
        <v>21093361</v>
      </c>
      <c r="E61" s="20"/>
      <c r="F61" s="17"/>
    </row>
    <row r="62" spans="1:6" ht="18.75">
      <c r="A62" s="23"/>
      <c r="B62" s="49"/>
      <c r="C62" s="23"/>
      <c r="D62" s="50"/>
      <c r="E62" s="20"/>
      <c r="F62" s="9"/>
    </row>
    <row r="63" spans="1:6" ht="18.75">
      <c r="A63" s="5" t="s">
        <v>47</v>
      </c>
      <c r="B63" s="49"/>
      <c r="C63" s="5"/>
      <c r="D63" s="50"/>
      <c r="E63" s="20"/>
      <c r="F63" s="9"/>
    </row>
    <row r="64" spans="1:6" ht="18.75">
      <c r="A64" s="23" t="s">
        <v>48</v>
      </c>
      <c r="B64" s="51">
        <f>-'[1]CBS 0905'!M45</f>
        <v>20285</v>
      </c>
      <c r="C64" s="23"/>
      <c r="D64" s="19">
        <v>48965</v>
      </c>
      <c r="E64" s="20"/>
      <c r="F64" s="22"/>
    </row>
    <row r="65" spans="1:6" ht="18.75">
      <c r="A65" s="23"/>
      <c r="B65" s="18"/>
      <c r="C65" s="23"/>
      <c r="D65" s="19"/>
      <c r="E65" s="20"/>
      <c r="F65" s="22"/>
    </row>
    <row r="66" spans="1:6" ht="18.75">
      <c r="A66" s="5" t="s">
        <v>49</v>
      </c>
      <c r="B66" s="19">
        <f>-'[1]CBS 0905'!H48</f>
        <v>0</v>
      </c>
      <c r="C66" s="5"/>
      <c r="D66" s="19">
        <v>4700</v>
      </c>
      <c r="E66" s="20"/>
      <c r="F66" s="22"/>
    </row>
    <row r="67" spans="1:6" ht="18.75">
      <c r="A67" s="23"/>
      <c r="B67" s="52"/>
      <c r="C67" s="23"/>
      <c r="D67" s="53"/>
      <c r="E67" s="20"/>
      <c r="F67" s="9"/>
    </row>
    <row r="68" spans="1:6" ht="19.5" thickBot="1">
      <c r="A68" s="24"/>
      <c r="B68" s="42">
        <f>SUM(B56:B67)</f>
        <v>43925465.8</v>
      </c>
      <c r="C68" s="24"/>
      <c r="D68" s="43">
        <f>SUM(D56:D67)</f>
        <v>40432751.34</v>
      </c>
      <c r="E68" s="54"/>
      <c r="F68" s="9"/>
    </row>
    <row r="69" spans="1:6" ht="19.5" thickTop="1">
      <c r="A69" s="23"/>
      <c r="B69" s="49"/>
      <c r="C69" s="23"/>
      <c r="D69" s="50"/>
      <c r="E69" s="20"/>
      <c r="F69" s="9"/>
    </row>
    <row r="70" spans="1:6" ht="18.75">
      <c r="A70" s="5" t="s">
        <v>50</v>
      </c>
      <c r="B70" s="55">
        <f>+(B56-B17-B19)/B50</f>
        <v>0.44927096986330856</v>
      </c>
      <c r="C70" s="5"/>
      <c r="D70" s="2">
        <f>+(D56-D17-D19)/D50</f>
        <v>0.3523384945355143</v>
      </c>
      <c r="F70" s="9"/>
    </row>
    <row r="71" spans="1:6" ht="18.75">
      <c r="A71" s="23"/>
      <c r="B71" s="2"/>
      <c r="C71" s="23"/>
      <c r="D71" s="2"/>
      <c r="F71" s="9"/>
    </row>
    <row r="72" spans="1:6" ht="18.75">
      <c r="A72" s="23"/>
      <c r="B72" s="2"/>
      <c r="C72" s="23"/>
      <c r="D72" s="2"/>
      <c r="F72" s="9"/>
    </row>
    <row r="73" spans="1:6" ht="18.75">
      <c r="A73" s="56" t="s">
        <v>51</v>
      </c>
      <c r="B73" s="2"/>
      <c r="C73" s="23"/>
      <c r="D73" s="2"/>
      <c r="F73" s="9"/>
    </row>
    <row r="74" spans="1:6" ht="18.75">
      <c r="A74" s="23"/>
      <c r="B74" s="2"/>
      <c r="C74" s="23"/>
      <c r="D74" s="2"/>
      <c r="F74" s="9"/>
    </row>
    <row r="75" spans="1:6" ht="18.75">
      <c r="A75" s="23"/>
      <c r="B75" s="2"/>
      <c r="C75" s="23"/>
      <c r="D75" s="2"/>
      <c r="F75" s="9"/>
    </row>
    <row r="76" spans="1:6" ht="18.75">
      <c r="A76" s="23"/>
      <c r="B76" s="2"/>
      <c r="C76" s="23"/>
      <c r="D76" s="2"/>
      <c r="F76" s="9"/>
    </row>
    <row r="77" spans="1:6" ht="18.75">
      <c r="A77" s="23"/>
      <c r="B77" s="23"/>
      <c r="C77" s="23"/>
      <c r="D77" s="2"/>
      <c r="F77" s="9"/>
    </row>
    <row r="78" spans="1:6" ht="18.75">
      <c r="A78" s="23"/>
      <c r="B78" s="23"/>
      <c r="C78" s="23"/>
      <c r="D78" s="2"/>
      <c r="F78" s="9"/>
    </row>
    <row r="79" spans="1:6" ht="18.75">
      <c r="A79" s="23"/>
      <c r="B79" s="23"/>
      <c r="C79" s="23"/>
      <c r="D79" s="2"/>
      <c r="F79" s="9"/>
    </row>
    <row r="80" spans="1:6" ht="18.75">
      <c r="A80" s="23"/>
      <c r="B80" s="23"/>
      <c r="C80" s="23"/>
      <c r="D80" s="2"/>
      <c r="F80" s="9"/>
    </row>
    <row r="81" spans="1:6" ht="18.75">
      <c r="A81" s="23"/>
      <c r="B81" s="23"/>
      <c r="C81" s="23"/>
      <c r="D81" s="2"/>
      <c r="F81" s="9"/>
    </row>
    <row r="82" spans="1:6" ht="18.75">
      <c r="A82" s="23"/>
      <c r="B82" s="23"/>
      <c r="C82" s="23"/>
      <c r="D82" s="2"/>
      <c r="F82" s="9"/>
    </row>
    <row r="83" spans="1:4" ht="18.75">
      <c r="A83" s="23"/>
      <c r="B83" s="2"/>
      <c r="C83" s="3"/>
      <c r="D83" s="3"/>
    </row>
    <row r="84" spans="1:4" ht="18.75">
      <c r="A84" s="23"/>
      <c r="B84" s="2"/>
      <c r="C84" s="3"/>
      <c r="D84" s="3"/>
    </row>
    <row r="85" spans="1:4" ht="18.75">
      <c r="A85" s="23"/>
      <c r="B85" s="2"/>
      <c r="C85" s="3"/>
      <c r="D85" s="3"/>
    </row>
    <row r="86" spans="1:4" ht="18.75">
      <c r="A86" s="23"/>
      <c r="B86" s="2"/>
      <c r="C86" s="3"/>
      <c r="D86" s="3"/>
    </row>
  </sheetData>
  <printOptions/>
  <pageMargins left="1" right="0.25" top="0.5" bottom="0.5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workbookViewId="0" topLeftCell="A54">
      <selection activeCell="F72" sqref="F72"/>
    </sheetView>
  </sheetViews>
  <sheetFormatPr defaultColWidth="9.140625" defaultRowHeight="12.75"/>
  <cols>
    <col min="1" max="1" width="6.28125" style="128" customWidth="1"/>
    <col min="2" max="2" width="40.7109375" style="61" customWidth="1"/>
    <col min="3" max="3" width="19.421875" style="129" customWidth="1"/>
    <col min="4" max="4" width="22.140625" style="129" customWidth="1"/>
    <col min="5" max="5" width="0.5625" style="129" customWidth="1"/>
    <col min="6" max="6" width="19.7109375" style="129" customWidth="1"/>
    <col min="7" max="7" width="21.421875" style="129" customWidth="1"/>
    <col min="8" max="8" width="9.140625" style="61" customWidth="1"/>
    <col min="9" max="10" width="10.57421875" style="61" bestFit="1" customWidth="1"/>
    <col min="11" max="16384" width="9.140625" style="61" customWidth="1"/>
  </cols>
  <sheetData>
    <row r="1" spans="1:7" ht="19.5">
      <c r="A1" s="58"/>
      <c r="B1" s="59" t="s">
        <v>0</v>
      </c>
      <c r="C1" s="60"/>
      <c r="D1" s="60"/>
      <c r="E1" s="60"/>
      <c r="F1" s="60"/>
      <c r="G1" s="60"/>
    </row>
    <row r="2" spans="1:7" ht="19.5">
      <c r="A2" s="58"/>
      <c r="B2" s="59" t="s">
        <v>1</v>
      </c>
      <c r="C2" s="60"/>
      <c r="D2" s="60"/>
      <c r="E2" s="60"/>
      <c r="F2" s="60"/>
      <c r="G2" s="60"/>
    </row>
    <row r="3" spans="1:7" ht="18.75">
      <c r="A3" s="58"/>
      <c r="B3" s="62"/>
      <c r="C3" s="60"/>
      <c r="D3" s="60"/>
      <c r="E3" s="60"/>
      <c r="F3" s="60"/>
      <c r="G3" s="60"/>
    </row>
    <row r="4" spans="1:7" ht="18.75">
      <c r="A4" s="58"/>
      <c r="B4" s="63" t="s">
        <v>2</v>
      </c>
      <c r="C4" s="60"/>
      <c r="D4" s="60"/>
      <c r="E4" s="60"/>
      <c r="F4" s="60"/>
      <c r="G4" s="60"/>
    </row>
    <row r="5" spans="1:7" ht="18.75">
      <c r="A5" s="58"/>
      <c r="B5" s="64" t="s">
        <v>52</v>
      </c>
      <c r="C5" s="60"/>
      <c r="D5" s="60"/>
      <c r="E5" s="60"/>
      <c r="F5" s="60"/>
      <c r="G5" s="60"/>
    </row>
    <row r="6" spans="1:7" ht="18.75">
      <c r="A6" s="58"/>
      <c r="B6" s="62"/>
      <c r="C6" s="60"/>
      <c r="D6" s="60"/>
      <c r="E6" s="60"/>
      <c r="F6" s="60"/>
      <c r="G6" s="60"/>
    </row>
    <row r="7" spans="1:7" ht="18.75">
      <c r="A7" s="65"/>
      <c r="B7" s="63" t="s">
        <v>53</v>
      </c>
      <c r="C7" s="66"/>
      <c r="D7" s="66"/>
      <c r="E7" s="66"/>
      <c r="F7" s="66"/>
      <c r="G7" s="66"/>
    </row>
    <row r="8" spans="1:7" ht="19.5" thickBot="1">
      <c r="A8" s="58"/>
      <c r="B8" s="62"/>
      <c r="C8" s="60"/>
      <c r="D8" s="60"/>
      <c r="E8" s="60"/>
      <c r="F8" s="60"/>
      <c r="G8" s="60"/>
    </row>
    <row r="9" spans="1:7" ht="19.5" thickBot="1">
      <c r="A9" s="67"/>
      <c r="B9" s="68"/>
      <c r="C9" s="69" t="s">
        <v>54</v>
      </c>
      <c r="D9" s="70"/>
      <c r="E9" s="71"/>
      <c r="F9" s="72" t="s">
        <v>55</v>
      </c>
      <c r="G9" s="73"/>
    </row>
    <row r="10" spans="1:7" ht="18.75">
      <c r="A10" s="67"/>
      <c r="B10" s="68"/>
      <c r="C10" s="74" t="s">
        <v>56</v>
      </c>
      <c r="D10" s="75" t="s">
        <v>57</v>
      </c>
      <c r="E10" s="76"/>
      <c r="F10" s="77" t="s">
        <v>56</v>
      </c>
      <c r="G10" s="78" t="s">
        <v>57</v>
      </c>
    </row>
    <row r="11" spans="1:7" ht="18.75">
      <c r="A11" s="79"/>
      <c r="B11" s="62"/>
      <c r="C11" s="80" t="s">
        <v>58</v>
      </c>
      <c r="D11" s="78" t="s">
        <v>59</v>
      </c>
      <c r="E11" s="81"/>
      <c r="F11" s="82" t="s">
        <v>60</v>
      </c>
      <c r="G11" s="78" t="s">
        <v>59</v>
      </c>
    </row>
    <row r="12" spans="1:7" ht="18.75">
      <c r="A12" s="79"/>
      <c r="B12" s="62"/>
      <c r="C12" s="80"/>
      <c r="D12" s="76" t="s">
        <v>58</v>
      </c>
      <c r="E12" s="76"/>
      <c r="F12" s="82"/>
      <c r="G12" s="76" t="s">
        <v>61</v>
      </c>
    </row>
    <row r="13" spans="1:7" ht="18.75">
      <c r="A13" s="79"/>
      <c r="B13" s="62" t="s">
        <v>13</v>
      </c>
      <c r="C13" s="83" t="s">
        <v>62</v>
      </c>
      <c r="D13" s="84" t="s">
        <v>63</v>
      </c>
      <c r="E13" s="81"/>
      <c r="F13" s="83" t="s">
        <v>62</v>
      </c>
      <c r="G13" s="84" t="s">
        <v>63</v>
      </c>
    </row>
    <row r="14" spans="1:7" ht="18.75">
      <c r="A14" s="85"/>
      <c r="B14" s="86"/>
      <c r="C14" s="87" t="s">
        <v>64</v>
      </c>
      <c r="D14" s="88" t="s">
        <v>64</v>
      </c>
      <c r="E14" s="88"/>
      <c r="F14" s="87" t="s">
        <v>64</v>
      </c>
      <c r="G14" s="88" t="s">
        <v>64</v>
      </c>
    </row>
    <row r="15" spans="1:7" ht="18.75">
      <c r="A15" s="89"/>
      <c r="B15" s="62"/>
      <c r="C15" s="80"/>
      <c r="D15" s="78"/>
      <c r="E15" s="78"/>
      <c r="F15" s="80"/>
      <c r="G15" s="78"/>
    </row>
    <row r="16" spans="1:7" ht="18.75">
      <c r="A16" s="90" t="s">
        <v>65</v>
      </c>
      <c r="B16" s="91" t="s">
        <v>66</v>
      </c>
      <c r="C16" s="92">
        <f>+'[1]CPL0305'!M8/1000</f>
        <v>14146.734479999994</v>
      </c>
      <c r="D16" s="93">
        <v>14674</v>
      </c>
      <c r="E16" s="93"/>
      <c r="F16" s="92">
        <f>+'[1]CPLCUM0305'!M8/1000</f>
        <v>43068.61721</v>
      </c>
      <c r="G16" s="93">
        <v>42204</v>
      </c>
    </row>
    <row r="17" spans="1:7" ht="18.75">
      <c r="A17" s="94"/>
      <c r="B17" s="86"/>
      <c r="C17" s="92"/>
      <c r="D17" s="95"/>
      <c r="E17" s="95"/>
      <c r="F17" s="92"/>
      <c r="G17" s="95"/>
    </row>
    <row r="18" spans="1:7" ht="18.75">
      <c r="A18" s="94" t="s">
        <v>67</v>
      </c>
      <c r="B18" s="86" t="s">
        <v>68</v>
      </c>
      <c r="C18" s="96">
        <v>0</v>
      </c>
      <c r="D18" s="97">
        <v>0</v>
      </c>
      <c r="E18" s="95"/>
      <c r="F18" s="96">
        <v>0</v>
      </c>
      <c r="G18" s="97">
        <v>0</v>
      </c>
    </row>
    <row r="19" spans="1:7" ht="18.75">
      <c r="A19" s="89"/>
      <c r="B19" s="62"/>
      <c r="C19" s="92"/>
      <c r="D19" s="93"/>
      <c r="E19" s="93"/>
      <c r="F19" s="92"/>
      <c r="G19" s="93"/>
    </row>
    <row r="20" spans="1:7" ht="18.75">
      <c r="A20" s="89" t="s">
        <v>69</v>
      </c>
      <c r="B20" s="91" t="s">
        <v>70</v>
      </c>
      <c r="C20" s="92">
        <f>+'[1]CPL0305'!M14/1000</f>
        <v>28.04962999999999</v>
      </c>
      <c r="D20" s="93">
        <v>87</v>
      </c>
      <c r="E20" s="93"/>
      <c r="F20" s="92">
        <f>+'[1]CPLCUM0305'!M14/1000</f>
        <v>112.65084</v>
      </c>
      <c r="G20" s="93">
        <v>132</v>
      </c>
    </row>
    <row r="21" spans="1:7" ht="18.75">
      <c r="A21" s="94"/>
      <c r="B21" s="86"/>
      <c r="C21" s="98"/>
      <c r="D21" s="95"/>
      <c r="E21" s="95"/>
      <c r="F21" s="98"/>
      <c r="G21" s="95"/>
    </row>
    <row r="22" spans="1:7" ht="18.75">
      <c r="A22" s="89"/>
      <c r="B22" s="62"/>
      <c r="C22" s="92"/>
      <c r="D22" s="93"/>
      <c r="E22" s="93"/>
      <c r="F22" s="92"/>
      <c r="G22" s="93"/>
    </row>
    <row r="23" spans="1:7" ht="18.75">
      <c r="A23" s="89" t="s">
        <v>71</v>
      </c>
      <c r="B23" s="91" t="s">
        <v>72</v>
      </c>
      <c r="C23" s="99"/>
      <c r="D23" s="100"/>
      <c r="E23" s="100"/>
      <c r="F23" s="99"/>
      <c r="G23" s="100"/>
    </row>
    <row r="24" spans="1:7" ht="18.75">
      <c r="A24" s="89"/>
      <c r="B24" s="91" t="s">
        <v>73</v>
      </c>
      <c r="C24" s="92"/>
      <c r="D24" s="93"/>
      <c r="E24" s="93"/>
      <c r="F24" s="92"/>
      <c r="G24" s="93"/>
    </row>
    <row r="25" spans="1:7" ht="18.75">
      <c r="A25" s="89"/>
      <c r="B25" s="62" t="s">
        <v>74</v>
      </c>
      <c r="C25" s="92"/>
      <c r="D25" s="93"/>
      <c r="E25" s="93"/>
      <c r="F25" s="92"/>
      <c r="G25" s="93"/>
    </row>
    <row r="26" spans="1:7" ht="18.75">
      <c r="A26" s="89"/>
      <c r="B26" s="62" t="s">
        <v>75</v>
      </c>
      <c r="C26" s="92"/>
      <c r="D26" s="93"/>
      <c r="E26" s="93"/>
      <c r="F26" s="92"/>
      <c r="G26" s="93"/>
    </row>
    <row r="27" spans="1:7" ht="18.75">
      <c r="A27" s="94"/>
      <c r="B27" s="86" t="s">
        <v>76</v>
      </c>
      <c r="C27" s="98">
        <f>+'[1]CPL0305'!M28/1000</f>
        <v>2010.8419999999544</v>
      </c>
      <c r="D27" s="95">
        <v>1685</v>
      </c>
      <c r="E27" s="95"/>
      <c r="F27" s="98">
        <f>+'[1]CPLCUM0305'!M28/1000</f>
        <v>5888.157810000005</v>
      </c>
      <c r="G27" s="95">
        <v>4688</v>
      </c>
    </row>
    <row r="28" spans="1:7" ht="18.75">
      <c r="A28" s="94"/>
      <c r="B28" s="86"/>
      <c r="C28" s="98"/>
      <c r="D28" s="95"/>
      <c r="E28" s="95"/>
      <c r="F28" s="98"/>
      <c r="G28" s="95"/>
    </row>
    <row r="29" spans="1:7" ht="18.75">
      <c r="A29" s="94" t="s">
        <v>67</v>
      </c>
      <c r="B29" s="101" t="s">
        <v>77</v>
      </c>
      <c r="C29" s="98">
        <f>+'[1]CPL0305'!M34/1000</f>
        <v>-406.74019000000015</v>
      </c>
      <c r="D29" s="95">
        <v>-684</v>
      </c>
      <c r="E29" s="95"/>
      <c r="F29" s="102">
        <f>+'[1]CPLCUM0305'!M34/1000</f>
        <v>-1349.8138900000001</v>
      </c>
      <c r="G29" s="103">
        <v>-1281</v>
      </c>
    </row>
    <row r="30" spans="1:7" ht="18.75">
      <c r="A30" s="94"/>
      <c r="B30" s="101"/>
      <c r="C30" s="98"/>
      <c r="D30" s="95"/>
      <c r="E30" s="95"/>
      <c r="F30" s="98"/>
      <c r="G30" s="95"/>
    </row>
    <row r="31" spans="1:7" ht="18.75">
      <c r="A31" s="104" t="s">
        <v>69</v>
      </c>
      <c r="B31" s="101" t="s">
        <v>78</v>
      </c>
      <c r="C31" s="98">
        <f>'[1]CPL0305'!M30/1000+'[1]CPL0305'!M32/1000++'[1]CPL0305'!M36/1000</f>
        <v>-236.83369999999994</v>
      </c>
      <c r="D31" s="95">
        <v>-564</v>
      </c>
      <c r="E31" s="95"/>
      <c r="F31" s="102">
        <f>+'[1]CPLCUM0305'!M30/1000+'[1]CPLCUM0305'!M32/1000++'[1]CPLCUM0305'!M36/1000</f>
        <v>-1362.43726</v>
      </c>
      <c r="G31" s="103">
        <v>-1953</v>
      </c>
    </row>
    <row r="32" spans="1:7" ht="18.75">
      <c r="A32" s="104"/>
      <c r="B32" s="86"/>
      <c r="C32" s="98"/>
      <c r="D32" s="95"/>
      <c r="E32" s="95"/>
      <c r="F32" s="98"/>
      <c r="G32" s="95"/>
    </row>
    <row r="33" spans="1:7" ht="18.75">
      <c r="A33" s="94" t="s">
        <v>79</v>
      </c>
      <c r="B33" s="86" t="s">
        <v>80</v>
      </c>
      <c r="C33" s="98">
        <v>0</v>
      </c>
      <c r="D33" s="95">
        <v>0</v>
      </c>
      <c r="E33" s="95"/>
      <c r="F33" s="98">
        <v>0</v>
      </c>
      <c r="G33" s="95">
        <v>0</v>
      </c>
    </row>
    <row r="34" spans="1:7" ht="18.75">
      <c r="A34" s="89"/>
      <c r="B34" s="62"/>
      <c r="C34" s="92"/>
      <c r="D34" s="93"/>
      <c r="E34" s="93"/>
      <c r="F34" s="92"/>
      <c r="G34" s="93"/>
    </row>
    <row r="35" spans="1:7" ht="18.75">
      <c r="A35" s="89" t="s">
        <v>81</v>
      </c>
      <c r="B35" s="91" t="s">
        <v>82</v>
      </c>
      <c r="C35" s="99"/>
      <c r="D35" s="100"/>
      <c r="E35" s="100"/>
      <c r="F35" s="99"/>
      <c r="G35" s="100"/>
    </row>
    <row r="36" spans="1:10" ht="18.75">
      <c r="A36" s="89"/>
      <c r="B36" s="91" t="s">
        <v>83</v>
      </c>
      <c r="C36" s="92">
        <f>C27+C29+C31+C33</f>
        <v>1367.2681099999543</v>
      </c>
      <c r="D36" s="93">
        <f>+D27+D29+D31+D33</f>
        <v>437</v>
      </c>
      <c r="E36" s="93"/>
      <c r="F36" s="92">
        <f>F27+F29+F31+F33</f>
        <v>3175.906660000005</v>
      </c>
      <c r="G36" s="93">
        <f>+G27+G29+G31+G33</f>
        <v>1454</v>
      </c>
      <c r="J36" s="105">
        <f>J27+J29+J31+J33</f>
        <v>0</v>
      </c>
    </row>
    <row r="37" spans="1:7" ht="18.75">
      <c r="A37" s="94"/>
      <c r="B37" s="101" t="s">
        <v>84</v>
      </c>
      <c r="C37" s="98"/>
      <c r="D37" s="95"/>
      <c r="E37" s="95"/>
      <c r="F37" s="98"/>
      <c r="G37" s="95"/>
    </row>
    <row r="38" spans="1:7" ht="18.75">
      <c r="A38" s="89" t="s">
        <v>85</v>
      </c>
      <c r="B38" s="91" t="s">
        <v>86</v>
      </c>
      <c r="C38" s="92">
        <f>+'[1]CPL0305'!M40/1000</f>
        <v>0</v>
      </c>
      <c r="D38" s="93">
        <v>0</v>
      </c>
      <c r="E38" s="93"/>
      <c r="F38" s="92">
        <f>+'[1]CPLCUM0305'!M40/1000</f>
        <v>30</v>
      </c>
      <c r="G38" s="93">
        <v>1704</v>
      </c>
    </row>
    <row r="39" spans="1:7" ht="18.75">
      <c r="A39" s="94"/>
      <c r="B39" s="101" t="s">
        <v>87</v>
      </c>
      <c r="C39" s="98"/>
      <c r="D39" s="95"/>
      <c r="E39" s="95"/>
      <c r="F39" s="98"/>
      <c r="G39" s="95"/>
    </row>
    <row r="40" spans="1:7" ht="18.75">
      <c r="A40" s="89"/>
      <c r="B40" s="91"/>
      <c r="C40" s="92"/>
      <c r="D40" s="93"/>
      <c r="E40" s="93"/>
      <c r="F40" s="92"/>
      <c r="G40" s="93"/>
    </row>
    <row r="41" spans="1:7" ht="18.75">
      <c r="A41" s="89" t="s">
        <v>88</v>
      </c>
      <c r="B41" s="91" t="s">
        <v>89</v>
      </c>
      <c r="C41" s="99"/>
      <c r="D41" s="100"/>
      <c r="E41" s="100"/>
      <c r="F41" s="99"/>
      <c r="G41" s="100"/>
    </row>
    <row r="42" spans="1:7" ht="18.75">
      <c r="A42" s="89"/>
      <c r="B42" s="91" t="s">
        <v>90</v>
      </c>
      <c r="C42" s="92">
        <f>SUM(C36:C39)</f>
        <v>1367.2681099999543</v>
      </c>
      <c r="D42" s="93">
        <f>SUM(D36:D39)</f>
        <v>437</v>
      </c>
      <c r="E42" s="93"/>
      <c r="F42" s="92">
        <f>SUM(F36:F39)</f>
        <v>3205.906660000005</v>
      </c>
      <c r="G42" s="93">
        <f>SUM(G36:G39)</f>
        <v>3158</v>
      </c>
    </row>
    <row r="43" spans="1:7" ht="18.75">
      <c r="A43" s="94"/>
      <c r="B43" s="86"/>
      <c r="C43" s="98"/>
      <c r="D43" s="95"/>
      <c r="E43" s="95"/>
      <c r="F43" s="98"/>
      <c r="G43" s="95"/>
    </row>
    <row r="44" spans="1:7" ht="18.75">
      <c r="A44" s="104" t="s">
        <v>91</v>
      </c>
      <c r="B44" s="101" t="s">
        <v>92</v>
      </c>
      <c r="C44" s="106">
        <f>+'[1]CPL0305'!M42/1000</f>
        <v>-18.86328</v>
      </c>
      <c r="D44" s="95">
        <v>-9</v>
      </c>
      <c r="E44" s="95"/>
      <c r="F44" s="92">
        <f>+'[1]CPLCUM0305'!M42/1000</f>
        <v>-18.86328</v>
      </c>
      <c r="G44" s="95">
        <v>-9.45</v>
      </c>
    </row>
    <row r="45" spans="1:7" ht="18.75">
      <c r="A45" s="89"/>
      <c r="B45" s="62"/>
      <c r="C45" s="107"/>
      <c r="D45" s="93"/>
      <c r="E45" s="93"/>
      <c r="F45" s="107"/>
      <c r="G45" s="93"/>
    </row>
    <row r="46" spans="1:7" ht="18.75">
      <c r="A46" s="89" t="s">
        <v>93</v>
      </c>
      <c r="B46" s="91" t="s">
        <v>94</v>
      </c>
      <c r="C46" s="99"/>
      <c r="D46" s="100"/>
      <c r="E46" s="100"/>
      <c r="F46" s="99"/>
      <c r="G46" s="100"/>
    </row>
    <row r="47" spans="1:7" ht="18.75">
      <c r="A47" s="108"/>
      <c r="B47" s="91" t="s">
        <v>95</v>
      </c>
      <c r="C47" s="92">
        <f>C42+C44</f>
        <v>1348.4048299999542</v>
      </c>
      <c r="D47" s="93">
        <f>+D42+D44</f>
        <v>428</v>
      </c>
      <c r="E47" s="93"/>
      <c r="F47" s="92">
        <f>F42+F44</f>
        <v>3187.043380000005</v>
      </c>
      <c r="G47" s="93">
        <f>+G42+G44</f>
        <v>3148.55</v>
      </c>
    </row>
    <row r="48" spans="1:7" ht="18.75">
      <c r="A48" s="94"/>
      <c r="B48" s="86"/>
      <c r="C48" s="98"/>
      <c r="D48" s="95"/>
      <c r="E48" s="95"/>
      <c r="F48" s="98"/>
      <c r="G48" s="95"/>
    </row>
    <row r="49" spans="1:7" ht="18.75">
      <c r="A49" s="109" t="s">
        <v>96</v>
      </c>
      <c r="B49" s="101" t="s">
        <v>97</v>
      </c>
      <c r="C49" s="98">
        <f>'[1]CPL0305'!M46/1000</f>
        <v>19.955538900000043</v>
      </c>
      <c r="D49" s="95">
        <v>-19</v>
      </c>
      <c r="E49" s="95"/>
      <c r="F49" s="102">
        <f>+'[1]CPLCUM0305'!M46/1000</f>
        <v>-17.26642499999998</v>
      </c>
      <c r="G49" s="103">
        <v>-63.45</v>
      </c>
    </row>
    <row r="50" spans="1:7" ht="18.75">
      <c r="A50" s="90"/>
      <c r="B50" s="62"/>
      <c r="C50" s="92"/>
      <c r="D50" s="93"/>
      <c r="E50" s="93"/>
      <c r="F50" s="92"/>
      <c r="G50" s="93"/>
    </row>
    <row r="51" spans="1:7" ht="18.75">
      <c r="A51" s="89" t="s">
        <v>98</v>
      </c>
      <c r="B51" s="91" t="s">
        <v>99</v>
      </c>
      <c r="C51" s="92"/>
      <c r="D51" s="93"/>
      <c r="E51" s="93"/>
      <c r="F51" s="92"/>
      <c r="G51" s="93"/>
    </row>
    <row r="52" spans="1:7" ht="18.75">
      <c r="A52" s="90"/>
      <c r="B52" s="91" t="s">
        <v>100</v>
      </c>
      <c r="C52" s="92">
        <v>0</v>
      </c>
      <c r="D52" s="93">
        <v>0</v>
      </c>
      <c r="E52" s="93"/>
      <c r="F52" s="92">
        <v>0</v>
      </c>
      <c r="G52" s="93">
        <v>0</v>
      </c>
    </row>
    <row r="53" spans="1:7" ht="18.75">
      <c r="A53" s="104"/>
      <c r="B53" s="86"/>
      <c r="C53" s="98"/>
      <c r="D53" s="95"/>
      <c r="E53" s="95"/>
      <c r="F53" s="98"/>
      <c r="G53" s="95"/>
    </row>
    <row r="54" spans="1:7" ht="18.75">
      <c r="A54" s="89" t="s">
        <v>101</v>
      </c>
      <c r="B54" s="91" t="s">
        <v>102</v>
      </c>
      <c r="C54" s="99"/>
      <c r="D54" s="100" t="s">
        <v>13</v>
      </c>
      <c r="E54" s="100"/>
      <c r="F54" s="99"/>
      <c r="G54" s="100" t="s">
        <v>13</v>
      </c>
    </row>
    <row r="55" spans="1:7" ht="18.75">
      <c r="A55" s="94"/>
      <c r="B55" s="101" t="s">
        <v>103</v>
      </c>
      <c r="C55" s="98">
        <f>+C47+C49</f>
        <v>1368.3603688999542</v>
      </c>
      <c r="D55" s="95">
        <f>+D47+D49</f>
        <v>409</v>
      </c>
      <c r="E55" s="95"/>
      <c r="F55" s="98">
        <f>+F47+F49</f>
        <v>3169.7769550000053</v>
      </c>
      <c r="G55" s="95">
        <f>+G47+G49</f>
        <v>3085.1000000000004</v>
      </c>
    </row>
    <row r="56" spans="1:7" ht="18.75">
      <c r="A56" s="94"/>
      <c r="B56" s="101"/>
      <c r="C56" s="98"/>
      <c r="D56" s="95"/>
      <c r="E56" s="95"/>
      <c r="F56" s="98"/>
      <c r="G56" s="95"/>
    </row>
    <row r="57" spans="1:7" ht="18.75">
      <c r="A57" s="104" t="s">
        <v>104</v>
      </c>
      <c r="B57" s="86" t="s">
        <v>105</v>
      </c>
      <c r="C57" s="98">
        <v>0</v>
      </c>
      <c r="D57" s="95">
        <v>0</v>
      </c>
      <c r="E57" s="95"/>
      <c r="F57" s="98">
        <v>0</v>
      </c>
      <c r="G57" s="95">
        <v>0</v>
      </c>
    </row>
    <row r="58" spans="1:7" ht="18.75">
      <c r="A58" s="104"/>
      <c r="B58" s="86"/>
      <c r="C58" s="98"/>
      <c r="D58" s="95"/>
      <c r="E58" s="95"/>
      <c r="F58" s="98"/>
      <c r="G58" s="95"/>
    </row>
    <row r="59" spans="1:7" ht="18.75">
      <c r="A59" s="90" t="s">
        <v>106</v>
      </c>
      <c r="B59" s="62" t="s">
        <v>107</v>
      </c>
      <c r="C59" s="92">
        <v>0</v>
      </c>
      <c r="D59" s="93">
        <v>0</v>
      </c>
      <c r="E59" s="93"/>
      <c r="F59" s="92">
        <v>0</v>
      </c>
      <c r="G59" s="93">
        <v>0</v>
      </c>
    </row>
    <row r="60" spans="1:7" ht="19.5" thickBot="1">
      <c r="A60" s="110"/>
      <c r="B60" s="111"/>
      <c r="C60" s="112"/>
      <c r="D60" s="113"/>
      <c r="E60" s="113"/>
      <c r="F60" s="112"/>
      <c r="G60" s="113"/>
    </row>
    <row r="61" spans="1:7" ht="18.75">
      <c r="A61" s="89" t="s">
        <v>108</v>
      </c>
      <c r="B61" s="62" t="s">
        <v>109</v>
      </c>
      <c r="C61" s="92"/>
      <c r="D61" s="93"/>
      <c r="E61" s="93"/>
      <c r="F61" s="114"/>
      <c r="G61" s="93"/>
    </row>
    <row r="62" spans="1:7" ht="18.75">
      <c r="A62" s="94"/>
      <c r="B62" s="86" t="s">
        <v>110</v>
      </c>
      <c r="C62" s="98">
        <v>0</v>
      </c>
      <c r="D62" s="95">
        <v>0</v>
      </c>
      <c r="E62" s="95"/>
      <c r="F62" s="115">
        <v>0</v>
      </c>
      <c r="G62" s="95">
        <v>0</v>
      </c>
    </row>
    <row r="63" spans="1:7" ht="18.75">
      <c r="A63" s="89"/>
      <c r="B63" s="62"/>
      <c r="C63" s="92" t="s">
        <v>13</v>
      </c>
      <c r="D63" s="93"/>
      <c r="E63" s="93"/>
      <c r="F63" s="114" t="s">
        <v>13</v>
      </c>
      <c r="G63" s="93"/>
    </row>
    <row r="64" spans="1:7" ht="18.75">
      <c r="A64" s="89" t="s">
        <v>111</v>
      </c>
      <c r="B64" s="91" t="s">
        <v>112</v>
      </c>
      <c r="C64" s="99"/>
      <c r="D64" s="100"/>
      <c r="E64" s="100"/>
      <c r="F64" s="116"/>
      <c r="G64" s="100"/>
    </row>
    <row r="65" spans="1:7" ht="18.75">
      <c r="A65" s="94"/>
      <c r="B65" s="86" t="s">
        <v>110</v>
      </c>
      <c r="C65" s="98">
        <f>SUM(C55:C62)</f>
        <v>1368.3603688999542</v>
      </c>
      <c r="D65" s="95">
        <f>SUM(D55:D62)</f>
        <v>409</v>
      </c>
      <c r="E65" s="95"/>
      <c r="F65" s="115">
        <f>SUM(F55:F62)</f>
        <v>3169.7769550000053</v>
      </c>
      <c r="G65" s="95">
        <f>SUM(G55:G62)</f>
        <v>3085.1000000000004</v>
      </c>
    </row>
    <row r="66" spans="1:7" ht="18.75">
      <c r="A66" s="89"/>
      <c r="B66" s="62"/>
      <c r="C66" s="92"/>
      <c r="D66" s="93"/>
      <c r="E66" s="93"/>
      <c r="F66" s="114"/>
      <c r="G66" s="93"/>
    </row>
    <row r="67" spans="1:7" ht="18.75">
      <c r="A67" s="89" t="s">
        <v>113</v>
      </c>
      <c r="B67" s="91" t="s">
        <v>114</v>
      </c>
      <c r="C67" s="92"/>
      <c r="D67" s="93"/>
      <c r="E67" s="93"/>
      <c r="F67" s="114"/>
      <c r="G67" s="93"/>
    </row>
    <row r="68" spans="1:7" ht="18.75">
      <c r="A68" s="89"/>
      <c r="B68" s="62" t="s">
        <v>115</v>
      </c>
      <c r="C68" s="92"/>
      <c r="D68" s="93"/>
      <c r="E68" s="93"/>
      <c r="F68" s="114"/>
      <c r="G68" s="93"/>
    </row>
    <row r="69" spans="1:7" ht="18.75">
      <c r="A69" s="94"/>
      <c r="B69" s="86" t="s">
        <v>116</v>
      </c>
      <c r="C69" s="98"/>
      <c r="D69" s="95"/>
      <c r="E69" s="95"/>
      <c r="F69" s="115"/>
      <c r="G69" s="95"/>
    </row>
    <row r="70" spans="1:7" ht="18.75">
      <c r="A70" s="94" t="s">
        <v>117</v>
      </c>
      <c r="B70" s="86" t="s">
        <v>118</v>
      </c>
      <c r="C70" s="117">
        <f>+C65/41596838.36*100000</f>
        <v>3.289577820933106</v>
      </c>
      <c r="D70" s="118">
        <v>1.11</v>
      </c>
      <c r="E70" s="95"/>
      <c r="F70" s="117">
        <f>+F65/41596838.36*100000</f>
        <v>7.6202352870359</v>
      </c>
      <c r="G70" s="118">
        <v>8.36</v>
      </c>
    </row>
    <row r="71" spans="1:7" ht="18.75">
      <c r="A71" s="90" t="s">
        <v>106</v>
      </c>
      <c r="B71" s="62" t="s">
        <v>119</v>
      </c>
      <c r="C71" s="92"/>
      <c r="D71" s="93"/>
      <c r="E71" s="93"/>
      <c r="F71" s="114"/>
      <c r="G71" s="93"/>
    </row>
    <row r="72" spans="1:7" ht="18.75">
      <c r="A72" s="94"/>
      <c r="B72" s="101" t="s">
        <v>120</v>
      </c>
      <c r="C72" s="117">
        <f>+C65/52785151.36*100000</f>
        <v>2.592320631170687</v>
      </c>
      <c r="D72" s="118">
        <v>1.05</v>
      </c>
      <c r="E72" s="95"/>
      <c r="F72" s="117">
        <f>+F65/52785151.36*100000</f>
        <v>6.0050542118972245</v>
      </c>
      <c r="G72" s="118">
        <v>7.93</v>
      </c>
    </row>
    <row r="73" spans="1:7" ht="19.5" thickBot="1">
      <c r="A73" s="119"/>
      <c r="B73" s="111"/>
      <c r="C73" s="120"/>
      <c r="D73" s="121"/>
      <c r="E73" s="121"/>
      <c r="F73" s="122"/>
      <c r="G73" s="121"/>
    </row>
    <row r="74" spans="1:7" ht="18.75">
      <c r="A74" s="58"/>
      <c r="B74" s="62"/>
      <c r="C74" s="105"/>
      <c r="D74" s="105"/>
      <c r="E74" s="105"/>
      <c r="F74" s="105"/>
      <c r="G74" s="105"/>
    </row>
    <row r="75" spans="1:7" ht="18.75" hidden="1">
      <c r="A75" s="58"/>
      <c r="B75" s="62" t="s">
        <v>121</v>
      </c>
      <c r="C75" s="123"/>
      <c r="D75" s="105"/>
      <c r="E75" s="105"/>
      <c r="F75" s="105"/>
      <c r="G75" s="105"/>
    </row>
    <row r="76" spans="1:7" ht="18.75" hidden="1">
      <c r="A76" s="58"/>
      <c r="B76" s="124"/>
      <c r="C76" s="105"/>
      <c r="D76" s="105">
        <v>19970000</v>
      </c>
      <c r="E76" s="105"/>
      <c r="F76" s="105"/>
      <c r="G76" s="105"/>
    </row>
    <row r="77" spans="1:7" ht="18.75" hidden="1">
      <c r="A77" s="58"/>
      <c r="B77" s="62" t="s">
        <v>122</v>
      </c>
      <c r="C77" s="105"/>
      <c r="D77" s="125">
        <v>1908994</v>
      </c>
      <c r="E77" s="105"/>
      <c r="F77" s="105"/>
      <c r="G77" s="105"/>
    </row>
    <row r="78" spans="1:7" ht="18.75" hidden="1">
      <c r="A78" s="58"/>
      <c r="B78" s="124"/>
      <c r="C78" s="105"/>
      <c r="D78" s="105">
        <f>SUM(D76:D77)</f>
        <v>21878994</v>
      </c>
      <c r="E78" s="105"/>
      <c r="F78" s="105"/>
      <c r="G78" s="105"/>
    </row>
    <row r="79" spans="1:7" ht="18.75" hidden="1">
      <c r="A79" s="58"/>
      <c r="B79" s="62" t="s">
        <v>123</v>
      </c>
      <c r="C79" s="105"/>
      <c r="D79" s="105">
        <v>1357260</v>
      </c>
      <c r="E79" s="105"/>
      <c r="F79" s="105"/>
      <c r="G79" s="105"/>
    </row>
    <row r="80" spans="1:7" ht="19.5" hidden="1" thickBot="1">
      <c r="A80" s="58"/>
      <c r="B80" s="62"/>
      <c r="C80" s="105"/>
      <c r="D80" s="126">
        <f>SUM(D78:D79)</f>
        <v>23236254</v>
      </c>
      <c r="E80" s="105"/>
      <c r="F80" s="105"/>
      <c r="G80" s="105"/>
    </row>
    <row r="81" spans="1:7" ht="18.75">
      <c r="A81" s="56" t="s">
        <v>124</v>
      </c>
      <c r="B81" s="127"/>
      <c r="C81" s="105"/>
      <c r="D81" s="105"/>
      <c r="E81" s="105"/>
      <c r="F81" s="105"/>
      <c r="G81" s="105"/>
    </row>
    <row r="82" spans="1:7" ht="18.75">
      <c r="A82" s="58"/>
      <c r="B82" s="62"/>
      <c r="C82" s="105"/>
      <c r="D82" s="105"/>
      <c r="E82" s="105"/>
      <c r="F82" s="105"/>
      <c r="G82" s="105"/>
    </row>
    <row r="83" spans="1:7" ht="18.75">
      <c r="A83" s="58"/>
      <c r="B83" s="62"/>
      <c r="C83" s="105"/>
      <c r="D83" s="105"/>
      <c r="E83" s="105"/>
      <c r="F83" s="105"/>
      <c r="G83" s="105"/>
    </row>
    <row r="84" spans="1:7" ht="18.75">
      <c r="A84" s="58"/>
      <c r="B84" s="62"/>
      <c r="C84" s="60"/>
      <c r="D84" s="60"/>
      <c r="E84" s="60"/>
      <c r="F84" s="60"/>
      <c r="G84" s="60"/>
    </row>
    <row r="85" spans="1:7" ht="18.75">
      <c r="A85" s="58"/>
      <c r="B85" s="62"/>
      <c r="C85" s="60"/>
      <c r="D85" s="60"/>
      <c r="E85" s="60"/>
      <c r="F85" s="60"/>
      <c r="G85" s="60"/>
    </row>
    <row r="86" spans="1:7" ht="18.75">
      <c r="A86" s="58"/>
      <c r="B86" s="62"/>
      <c r="C86" s="60"/>
      <c r="D86" s="60"/>
      <c r="E86" s="60"/>
      <c r="F86" s="60"/>
      <c r="G86" s="60"/>
    </row>
    <row r="87" spans="1:7" ht="18.75">
      <c r="A87" s="58"/>
      <c r="B87" s="62"/>
      <c r="C87" s="60"/>
      <c r="D87" s="60"/>
      <c r="E87" s="60"/>
      <c r="F87" s="60"/>
      <c r="G87" s="60"/>
    </row>
  </sheetData>
  <printOptions/>
  <pageMargins left="0.5" right="0.25" top="0.81" bottom="0.69" header="0.5" footer="0.25"/>
  <pageSetup horizontalDpi="300" verticalDpi="300" orientation="portrait" scale="70" r:id="rId1"/>
  <rowBreaks count="1" manualBreakCount="1">
    <brk id="50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7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3.140625" style="134" customWidth="1"/>
    <col min="2" max="2" width="6.140625" style="134" customWidth="1"/>
    <col min="3" max="3" width="13.421875" style="134" customWidth="1"/>
    <col min="4" max="4" width="10.8515625" style="134" hidden="1" customWidth="1"/>
    <col min="5" max="5" width="15.8515625" style="134" customWidth="1"/>
    <col min="6" max="6" width="5.8515625" style="134" customWidth="1"/>
    <col min="7" max="7" width="15.8515625" style="134" hidden="1" customWidth="1"/>
    <col min="8" max="16384" width="9.140625" style="134" customWidth="1"/>
  </cols>
  <sheetData>
    <row r="1" s="130" customFormat="1" ht="15.75"/>
    <row r="2" s="130" customFormat="1" ht="19.5">
      <c r="A2" s="131" t="s">
        <v>0</v>
      </c>
    </row>
    <row r="3" s="130" customFormat="1" ht="19.5">
      <c r="A3" s="131" t="s">
        <v>1</v>
      </c>
    </row>
    <row r="4" s="130" customFormat="1" ht="19.5">
      <c r="A4" s="1"/>
    </row>
    <row r="5" s="130" customFormat="1" ht="15.75">
      <c r="A5" s="63" t="s">
        <v>2</v>
      </c>
    </row>
    <row r="6" s="130" customFormat="1" ht="15.75">
      <c r="A6" s="64" t="s">
        <v>52</v>
      </c>
    </row>
    <row r="7" s="130" customFormat="1" ht="15.75"/>
    <row r="8" s="130" customFormat="1" ht="15.75">
      <c r="A8" s="132" t="s">
        <v>125</v>
      </c>
    </row>
    <row r="9" s="130" customFormat="1" ht="15.75">
      <c r="A9" s="133"/>
    </row>
    <row r="10" spans="3:7" ht="15.75">
      <c r="C10" s="135" t="s">
        <v>126</v>
      </c>
      <c r="D10" s="136"/>
      <c r="E10" s="136"/>
      <c r="G10" s="136"/>
    </row>
    <row r="11" spans="1:7" ht="15.75">
      <c r="A11" s="130"/>
      <c r="C11" s="137" t="s">
        <v>10</v>
      </c>
      <c r="D11" s="138"/>
      <c r="E11" s="139" t="s">
        <v>127</v>
      </c>
      <c r="G11" s="139" t="s">
        <v>11</v>
      </c>
    </row>
    <row r="12" spans="3:7" ht="15.75">
      <c r="C12" s="140" t="s">
        <v>12</v>
      </c>
      <c r="D12" s="141" t="s">
        <v>12</v>
      </c>
      <c r="E12" s="141" t="s">
        <v>12</v>
      </c>
      <c r="G12" s="141" t="s">
        <v>12</v>
      </c>
    </row>
    <row r="13" ht="15.75">
      <c r="C13" s="142"/>
    </row>
    <row r="14" spans="1:3" ht="15.75">
      <c r="A14" s="130" t="s">
        <v>128</v>
      </c>
      <c r="C14" s="142"/>
    </row>
    <row r="15" spans="1:7" ht="15.75">
      <c r="A15" s="143" t="s">
        <v>129</v>
      </c>
      <c r="C15" s="144">
        <f>+'[1]Cashflow'!C12</f>
        <v>3205906.5500000054</v>
      </c>
      <c r="D15" s="123">
        <v>194500.6825000018</v>
      </c>
      <c r="E15" s="123">
        <v>3157912</v>
      </c>
      <c r="G15" s="123">
        <v>4023678</v>
      </c>
    </row>
    <row r="16" spans="1:7" ht="15.75">
      <c r="A16" s="145"/>
      <c r="C16" s="144"/>
      <c r="D16" s="123"/>
      <c r="E16" s="123"/>
      <c r="G16" s="123"/>
    </row>
    <row r="17" spans="1:7" ht="15.75">
      <c r="A17" s="145" t="s">
        <v>130</v>
      </c>
      <c r="C17" s="144"/>
      <c r="D17" s="123">
        <v>0</v>
      </c>
      <c r="E17" s="123"/>
      <c r="G17" s="123"/>
    </row>
    <row r="18" spans="1:7" ht="15.75">
      <c r="A18" s="134" t="s">
        <v>131</v>
      </c>
      <c r="C18" s="144">
        <f>+'[1]Cashflow'!C15</f>
        <v>1332437.2600000005</v>
      </c>
      <c r="D18" s="123">
        <v>157776.67</v>
      </c>
      <c r="E18" s="123">
        <v>1264492</v>
      </c>
      <c r="G18" s="123">
        <f>6649444-4023678</f>
        <v>2625766</v>
      </c>
    </row>
    <row r="19" spans="3:7" ht="15.75">
      <c r="C19" s="125"/>
      <c r="D19" s="146"/>
      <c r="E19" s="146"/>
      <c r="G19" s="146"/>
    </row>
    <row r="20" spans="1:7" ht="15.75">
      <c r="A20" s="143" t="s">
        <v>132</v>
      </c>
      <c r="C20" s="144">
        <f>SUM(C15:C19)</f>
        <v>4538343.810000006</v>
      </c>
      <c r="D20" s="123">
        <v>737822.3100000018</v>
      </c>
      <c r="E20" s="147">
        <f>SUM(E15:E19)</f>
        <v>4422404</v>
      </c>
      <c r="G20" s="147">
        <f>SUM(G15:G19)</f>
        <v>6649444</v>
      </c>
    </row>
    <row r="21" spans="3:7" ht="15.75">
      <c r="C21" s="144"/>
      <c r="D21" s="123"/>
      <c r="E21" s="123"/>
      <c r="G21" s="123"/>
    </row>
    <row r="22" spans="1:7" ht="15.75">
      <c r="A22" s="130" t="s">
        <v>133</v>
      </c>
      <c r="C22" s="144"/>
      <c r="D22" s="123"/>
      <c r="E22" s="123"/>
      <c r="G22" s="123"/>
    </row>
    <row r="23" spans="3:7" ht="15.75">
      <c r="C23" s="144"/>
      <c r="D23" s="123">
        <v>-1114436.37</v>
      </c>
      <c r="E23" s="123"/>
      <c r="G23" s="123"/>
    </row>
    <row r="24" spans="1:7" ht="15.75">
      <c r="A24" s="134" t="s">
        <v>134</v>
      </c>
      <c r="C24" s="144">
        <f>+'[1]Cashflow'!C21</f>
        <v>-301040.10000001173</v>
      </c>
      <c r="D24" s="123">
        <v>1024875.41</v>
      </c>
      <c r="E24" s="123">
        <v>-5931691</v>
      </c>
      <c r="G24" s="123">
        <f>-1113450-9201042+99405-984734</f>
        <v>-11199821</v>
      </c>
    </row>
    <row r="25" spans="3:7" ht="15.75">
      <c r="C25" s="144"/>
      <c r="D25" s="123"/>
      <c r="E25" s="123"/>
      <c r="G25" s="123"/>
    </row>
    <row r="26" spans="1:7" ht="15.75">
      <c r="A26" s="134" t="s">
        <v>135</v>
      </c>
      <c r="C26" s="144">
        <f>+'[1]Cashflow'!C23</f>
        <v>-3784005.8700000076</v>
      </c>
      <c r="D26" s="123">
        <v>3305372.77</v>
      </c>
      <c r="E26" s="123">
        <v>1580261</v>
      </c>
      <c r="G26" s="123">
        <f>690322+1351907+34500-199160</f>
        <v>1877569</v>
      </c>
    </row>
    <row r="27" spans="3:7" ht="15.75">
      <c r="C27" s="125"/>
      <c r="D27" s="146"/>
      <c r="E27" s="146"/>
      <c r="G27" s="146"/>
    </row>
    <row r="28" spans="1:7" ht="15.75">
      <c r="A28" s="130" t="s">
        <v>136</v>
      </c>
      <c r="C28" s="144">
        <f>SUM(C20:C27)</f>
        <v>453297.8399999868</v>
      </c>
      <c r="D28" s="123">
        <v>-5054908.4</v>
      </c>
      <c r="E28" s="147">
        <f>SUM(E20:E27)</f>
        <v>70974</v>
      </c>
      <c r="G28" s="147">
        <f>SUM(G20:G27)</f>
        <v>-2672808</v>
      </c>
    </row>
    <row r="29" spans="1:7" ht="15.75">
      <c r="A29" s="134" t="s">
        <v>137</v>
      </c>
      <c r="C29" s="144">
        <f>+'[1]Cashflow'!C26</f>
        <v>0</v>
      </c>
      <c r="D29" s="123"/>
      <c r="E29" s="123">
        <v>0</v>
      </c>
      <c r="G29" s="123">
        <f>-589200+213099</f>
        <v>-376101</v>
      </c>
    </row>
    <row r="30" spans="1:7" ht="15.75">
      <c r="A30" s="134" t="s">
        <v>138</v>
      </c>
      <c r="C30" s="144">
        <f>+'[1]Cashflow'!C27</f>
        <v>-21827</v>
      </c>
      <c r="D30" s="123">
        <v>0</v>
      </c>
      <c r="E30" s="123">
        <v>-9196</v>
      </c>
      <c r="G30" s="123">
        <v>-8845</v>
      </c>
    </row>
    <row r="31" spans="1:7" ht="15.75">
      <c r="A31" s="134" t="s">
        <v>139</v>
      </c>
      <c r="C31" s="144">
        <f>+'[1]Cashflow'!C28</f>
        <v>0</v>
      </c>
      <c r="D31" s="123">
        <v>8669.44</v>
      </c>
      <c r="E31" s="123">
        <v>5446</v>
      </c>
      <c r="G31" s="123">
        <v>3149</v>
      </c>
    </row>
    <row r="32" spans="3:7" ht="15.75">
      <c r="C32" s="125"/>
      <c r="D32" s="146"/>
      <c r="E32" s="146"/>
      <c r="G32" s="146"/>
    </row>
    <row r="33" spans="1:7" ht="15.75">
      <c r="A33" s="134" t="s">
        <v>140</v>
      </c>
      <c r="C33" s="144">
        <f>SUM(C28:C32)</f>
        <v>431470.8399999868</v>
      </c>
      <c r="D33" s="123">
        <v>-5046238.86</v>
      </c>
      <c r="E33" s="147">
        <f>SUM(E28:E32)</f>
        <v>67224</v>
      </c>
      <c r="G33" s="147">
        <f>SUM(G28:G32)</f>
        <v>-3054605</v>
      </c>
    </row>
    <row r="34" spans="3:7" ht="15.75">
      <c r="C34" s="144"/>
      <c r="D34" s="123"/>
      <c r="E34" s="123"/>
      <c r="G34" s="123"/>
    </row>
    <row r="35" spans="1:7" ht="15.75">
      <c r="A35" s="133" t="s">
        <v>141</v>
      </c>
      <c r="C35" s="144"/>
      <c r="D35" s="123"/>
      <c r="E35" s="123"/>
      <c r="G35" s="123"/>
    </row>
    <row r="36" spans="1:7" ht="15.75">
      <c r="A36" s="143" t="s">
        <v>142</v>
      </c>
      <c r="C36" s="144">
        <f>+'[1]Cashflow'!C33</f>
        <v>-84596</v>
      </c>
      <c r="D36" s="123">
        <v>82600</v>
      </c>
      <c r="E36" s="123">
        <v>-429893</v>
      </c>
      <c r="G36" s="123">
        <v>91568</v>
      </c>
    </row>
    <row r="37" spans="1:7" ht="15.75">
      <c r="A37" s="148" t="s">
        <v>143</v>
      </c>
      <c r="C37" s="144">
        <f>+'[1]Cashflow'!C34</f>
        <v>0</v>
      </c>
      <c r="D37" s="123"/>
      <c r="E37" s="123">
        <v>101998</v>
      </c>
      <c r="G37" s="123">
        <v>-517626</v>
      </c>
    </row>
    <row r="38" spans="1:7" ht="15.75">
      <c r="A38" s="148" t="s">
        <v>144</v>
      </c>
      <c r="C38" s="144">
        <f>+'[1]Cashflow'!C35</f>
        <v>0</v>
      </c>
      <c r="D38" s="123">
        <v>-170809.05</v>
      </c>
      <c r="E38" s="123">
        <v>6068</v>
      </c>
      <c r="G38" s="123">
        <v>2000</v>
      </c>
    </row>
    <row r="39" spans="3:7" ht="15.75">
      <c r="C39" s="144"/>
      <c r="D39" s="123"/>
      <c r="E39" s="123"/>
      <c r="G39" s="123"/>
    </row>
    <row r="40" spans="1:7" ht="15.75">
      <c r="A40" s="143" t="s">
        <v>145</v>
      </c>
      <c r="C40" s="149">
        <f>SUM(C36:C38)</f>
        <v>-84596</v>
      </c>
      <c r="D40" s="150">
        <v>-88209.05</v>
      </c>
      <c r="E40" s="150">
        <f>SUM(E36:E38)</f>
        <v>-321827</v>
      </c>
      <c r="G40" s="150">
        <f>SUM(G36:G38)</f>
        <v>-424058</v>
      </c>
    </row>
    <row r="41" spans="3:7" ht="15.75">
      <c r="C41" s="144"/>
      <c r="D41" s="123"/>
      <c r="E41" s="123"/>
      <c r="G41" s="123"/>
    </row>
    <row r="42" spans="1:7" ht="15.75">
      <c r="A42" s="130" t="s">
        <v>146</v>
      </c>
      <c r="C42" s="144"/>
      <c r="D42" s="123"/>
      <c r="E42" s="123"/>
      <c r="G42" s="123"/>
    </row>
    <row r="43" spans="1:7" ht="15.75">
      <c r="A43" s="134" t="s">
        <v>147</v>
      </c>
      <c r="C43" s="144">
        <f>+'[1]Cashflow'!C40</f>
        <v>878000</v>
      </c>
      <c r="D43" s="123"/>
      <c r="E43" s="123">
        <v>500000</v>
      </c>
      <c r="G43" s="123">
        <v>4350000</v>
      </c>
    </row>
    <row r="44" spans="1:7" ht="15.75">
      <c r="A44" s="134" t="s">
        <v>148</v>
      </c>
      <c r="C44" s="144">
        <f>+'[1]Cashflow'!C41</f>
        <v>-953357.129999999</v>
      </c>
      <c r="D44" s="123">
        <v>2500000.34</v>
      </c>
      <c r="E44" s="123">
        <v>-294811</v>
      </c>
      <c r="G44" s="123">
        <v>-1065079</v>
      </c>
    </row>
    <row r="45" spans="1:7" ht="15.75">
      <c r="A45" s="134" t="s">
        <v>149</v>
      </c>
      <c r="C45" s="144">
        <f>+'[1]Cashflow'!C42</f>
        <v>-13678</v>
      </c>
      <c r="D45" s="123">
        <v>-157776.67</v>
      </c>
      <c r="E45" s="123">
        <v>-1281314</v>
      </c>
      <c r="G45" s="123">
        <v>-1827290</v>
      </c>
    </row>
    <row r="46" spans="1:7" ht="15.75">
      <c r="A46" s="134" t="s">
        <v>150</v>
      </c>
      <c r="C46" s="144">
        <f>+'[1]Cashflow'!C43</f>
        <v>0</v>
      </c>
      <c r="D46" s="123"/>
      <c r="E46" s="123"/>
      <c r="G46" s="123">
        <v>203130</v>
      </c>
    </row>
    <row r="47" spans="1:7" ht="15.75">
      <c r="A47" s="134" t="s">
        <v>151</v>
      </c>
      <c r="C47" s="144">
        <v>0</v>
      </c>
      <c r="D47" s="123"/>
      <c r="E47" s="123"/>
      <c r="G47" s="123">
        <v>-42000</v>
      </c>
    </row>
    <row r="48" spans="1:7" ht="15.75">
      <c r="A48" s="134" t="s">
        <v>152</v>
      </c>
      <c r="C48" s="144">
        <f>+'[1]Cashflow'!C44</f>
        <v>-253339</v>
      </c>
      <c r="D48" s="123">
        <v>0</v>
      </c>
      <c r="E48" s="123">
        <v>-322896</v>
      </c>
      <c r="G48" s="123">
        <v>-567921</v>
      </c>
    </row>
    <row r="49" spans="1:7" ht="15.75">
      <c r="A49" s="143" t="s">
        <v>153</v>
      </c>
      <c r="C49" s="144">
        <f>+'[1]Cashflow'!C45</f>
        <v>-12591</v>
      </c>
      <c r="D49" s="123">
        <v>0</v>
      </c>
      <c r="E49" s="123">
        <v>-150506</v>
      </c>
      <c r="G49" s="123">
        <v>-26403</v>
      </c>
    </row>
    <row r="50" spans="1:7" ht="15.75">
      <c r="A50" s="148" t="s">
        <v>154</v>
      </c>
      <c r="C50" s="144">
        <f>+'[1]Cashflow'!C46</f>
        <v>-9711</v>
      </c>
      <c r="D50" s="123"/>
      <c r="E50" s="123">
        <v>-8150</v>
      </c>
      <c r="G50" s="123">
        <v>-10035</v>
      </c>
    </row>
    <row r="51" spans="3:7" ht="15.75">
      <c r="C51" s="144"/>
      <c r="D51" s="123"/>
      <c r="E51" s="123"/>
      <c r="G51" s="123"/>
    </row>
    <row r="52" spans="1:7" ht="15.75">
      <c r="A52" s="143" t="s">
        <v>155</v>
      </c>
      <c r="C52" s="149">
        <f>SUM(C43:C51)</f>
        <v>-364676.12999999896</v>
      </c>
      <c r="D52" s="150">
        <v>2342223.67</v>
      </c>
      <c r="E52" s="151">
        <f>SUM(E43:E51)</f>
        <v>-1557677</v>
      </c>
      <c r="G52" s="151">
        <f>SUM(G43:G51)</f>
        <v>1014402</v>
      </c>
    </row>
    <row r="53" spans="3:7" ht="15.75">
      <c r="C53" s="105"/>
      <c r="D53" s="152"/>
      <c r="E53" s="153"/>
      <c r="G53" s="153"/>
    </row>
    <row r="54" spans="1:7" ht="15.75">
      <c r="A54" s="133" t="s">
        <v>156</v>
      </c>
      <c r="C54" s="144"/>
      <c r="D54" s="123"/>
      <c r="E54" s="123"/>
      <c r="G54" s="123"/>
    </row>
    <row r="55" spans="1:7" ht="15.75">
      <c r="A55" s="130" t="s">
        <v>157</v>
      </c>
      <c r="C55" s="144">
        <f>C33+C40+C52</f>
        <v>-17801.290000012144</v>
      </c>
      <c r="D55" s="123">
        <v>-2792224.24</v>
      </c>
      <c r="E55" s="154">
        <f>E33+E40+E52</f>
        <v>-1812280</v>
      </c>
      <c r="G55" s="154">
        <f>G33+G40+G52</f>
        <v>-2464261</v>
      </c>
    </row>
    <row r="56" spans="1:7" ht="15.75">
      <c r="A56" s="130"/>
      <c r="C56" s="144"/>
      <c r="D56" s="123"/>
      <c r="E56" s="155"/>
      <c r="G56" s="155"/>
    </row>
    <row r="57" spans="1:7" ht="15.75">
      <c r="A57" s="130"/>
      <c r="C57" s="144"/>
      <c r="D57" s="123"/>
      <c r="E57" s="155"/>
      <c r="G57" s="155"/>
    </row>
    <row r="58" spans="1:7" ht="15.75">
      <c r="A58" s="130" t="s">
        <v>158</v>
      </c>
      <c r="C58" s="144"/>
      <c r="D58" s="123"/>
      <c r="E58" s="123"/>
      <c r="G58" s="123"/>
    </row>
    <row r="59" spans="1:7" ht="15.75">
      <c r="A59" s="130" t="s">
        <v>159</v>
      </c>
      <c r="C59" s="144">
        <f>+'[1]Cashflow'!C54</f>
        <v>1360652</v>
      </c>
      <c r="D59" s="123">
        <v>7948306</v>
      </c>
      <c r="E59" s="123">
        <v>3043309</v>
      </c>
      <c r="G59" s="123">
        <v>3043309</v>
      </c>
    </row>
    <row r="60" spans="1:7" ht="15.75">
      <c r="A60" s="130"/>
      <c r="C60" s="125"/>
      <c r="D60" s="146"/>
      <c r="E60" s="146"/>
      <c r="G60" s="146"/>
    </row>
    <row r="61" spans="1:7" ht="15.75">
      <c r="A61" s="133" t="s">
        <v>158</v>
      </c>
      <c r="C61" s="105"/>
      <c r="D61" s="152"/>
      <c r="E61" s="152"/>
      <c r="G61" s="152"/>
    </row>
    <row r="62" spans="1:7" ht="16.5" thickBot="1">
      <c r="A62" s="156" t="s">
        <v>160</v>
      </c>
      <c r="C62" s="157">
        <f>C55+C59</f>
        <v>1342850.7099999879</v>
      </c>
      <c r="D62" s="158">
        <v>5156081.76</v>
      </c>
      <c r="E62" s="159">
        <f>E55+E59</f>
        <v>1231029</v>
      </c>
      <c r="G62" s="159">
        <f>G55+G59</f>
        <v>579048</v>
      </c>
    </row>
    <row r="63" spans="3:7" ht="16.5" thickTop="1">
      <c r="C63" s="144"/>
      <c r="D63" s="123"/>
      <c r="E63" s="123"/>
      <c r="G63" s="123"/>
    </row>
    <row r="64" spans="1:7" ht="15.75">
      <c r="A64" s="134" t="s">
        <v>161</v>
      </c>
      <c r="C64" s="144"/>
      <c r="D64" s="123">
        <v>5156081.76</v>
      </c>
      <c r="E64" s="123"/>
      <c r="G64" s="123"/>
    </row>
    <row r="65" spans="1:7" ht="15.75">
      <c r="A65" s="134" t="s">
        <v>162</v>
      </c>
      <c r="C65" s="160"/>
      <c r="D65" s="23"/>
      <c r="E65" s="123"/>
      <c r="G65" s="123"/>
    </row>
    <row r="66" spans="1:7" ht="15.75">
      <c r="A66" s="134" t="s">
        <v>163</v>
      </c>
      <c r="C66" s="144">
        <f>+'[1]Cashflow'!C65</f>
        <v>1218461.8</v>
      </c>
      <c r="E66" s="123">
        <v>1004734</v>
      </c>
      <c r="G66" s="123"/>
    </row>
    <row r="67" spans="1:7" ht="15.75">
      <c r="A67" s="134" t="s">
        <v>164</v>
      </c>
      <c r="C67" s="125">
        <f>+'[1]KLSE-BS'!B28</f>
        <v>502519.24000000005</v>
      </c>
      <c r="D67" s="161"/>
      <c r="E67" s="146">
        <v>395771</v>
      </c>
      <c r="G67" s="146">
        <f>+'[1]CBS 0905'!Q24</f>
        <v>751940</v>
      </c>
    </row>
    <row r="68" spans="3:7" ht="15.75">
      <c r="C68" s="162">
        <f>SUM(C66:C67)</f>
        <v>1720981.04</v>
      </c>
      <c r="E68" s="147">
        <f>SUM(E66:E67)</f>
        <v>1400505</v>
      </c>
      <c r="G68" s="147">
        <f>SUM(G66:G67)</f>
        <v>751940</v>
      </c>
    </row>
    <row r="69" spans="3:8" ht="15.75">
      <c r="C69" s="142"/>
      <c r="E69" s="147"/>
      <c r="G69" s="147"/>
      <c r="H69" s="147"/>
    </row>
    <row r="70" spans="1:7" ht="15.75">
      <c r="A70" s="134" t="s">
        <v>165</v>
      </c>
      <c r="C70" s="144">
        <f>+'[1]Cashflow'!C69</f>
        <v>-378130.12</v>
      </c>
      <c r="E70" s="147">
        <v>-169476</v>
      </c>
      <c r="G70" s="147">
        <v>-172892</v>
      </c>
    </row>
    <row r="71" spans="3:7" ht="15.75">
      <c r="C71" s="163"/>
      <c r="D71" s="161"/>
      <c r="E71" s="161"/>
      <c r="G71" s="161"/>
    </row>
    <row r="72" spans="3:7" ht="15.75">
      <c r="C72" s="62"/>
      <c r="D72" s="164"/>
      <c r="E72" s="164"/>
      <c r="G72" s="164"/>
    </row>
    <row r="73" spans="3:7" ht="16.5" thickBot="1">
      <c r="C73" s="165">
        <f>C68+C70</f>
        <v>1342850.92</v>
      </c>
      <c r="D73" s="166"/>
      <c r="E73" s="167">
        <f>SUM(E68:E71)</f>
        <v>1231029</v>
      </c>
      <c r="G73" s="167">
        <f>SUM(G68:G71)</f>
        <v>579048</v>
      </c>
    </row>
    <row r="74" ht="16.5" thickTop="1">
      <c r="C74" s="142"/>
    </row>
    <row r="75" ht="15.75">
      <c r="A75" s="127" t="s">
        <v>166</v>
      </c>
    </row>
  </sheetData>
  <printOptions/>
  <pageMargins left="0.75" right="0.25" top="0.5" bottom="0" header="0" footer="0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75" zoomScaleNormal="75" workbookViewId="0" topLeftCell="A1">
      <pane xSplit="1" ySplit="13" topLeftCell="B3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30" sqref="B30"/>
    </sheetView>
  </sheetViews>
  <sheetFormatPr defaultColWidth="9.140625" defaultRowHeight="12.75"/>
  <cols>
    <col min="1" max="1" width="32.8515625" style="169" customWidth="1"/>
    <col min="2" max="3" width="15.8515625" style="4" customWidth="1"/>
    <col min="4" max="4" width="16.57421875" style="4" customWidth="1"/>
    <col min="5" max="5" width="16.28125" style="4" customWidth="1"/>
    <col min="6" max="6" width="15.421875" style="4" customWidth="1"/>
    <col min="7" max="16384" width="9.140625" style="169" customWidth="1"/>
  </cols>
  <sheetData>
    <row r="1" spans="1:7" ht="19.5">
      <c r="A1" s="1" t="s">
        <v>0</v>
      </c>
      <c r="B1" s="168"/>
      <c r="C1" s="168"/>
      <c r="D1" s="168"/>
      <c r="E1" s="168"/>
      <c r="F1" s="168"/>
      <c r="G1" s="134"/>
    </row>
    <row r="2" spans="1:7" ht="19.5">
      <c r="A2" s="1" t="s">
        <v>1</v>
      </c>
      <c r="B2" s="168"/>
      <c r="C2" s="168"/>
      <c r="D2" s="168"/>
      <c r="E2" s="168"/>
      <c r="F2" s="168"/>
      <c r="G2" s="134"/>
    </row>
    <row r="3" spans="1:7" ht="19.5">
      <c r="A3" s="1"/>
      <c r="B3" s="168"/>
      <c r="C3" s="168"/>
      <c r="D3" s="168"/>
      <c r="E3" s="168"/>
      <c r="F3" s="168"/>
      <c r="G3" s="134"/>
    </row>
    <row r="4" spans="1:7" ht="18.75">
      <c r="A4" s="132" t="s">
        <v>167</v>
      </c>
      <c r="B4" s="168"/>
      <c r="C4" s="168"/>
      <c r="D4" s="168"/>
      <c r="E4" s="168"/>
      <c r="F4" s="168"/>
      <c r="G4" s="134"/>
    </row>
    <row r="5" spans="1:7" ht="18.75">
      <c r="A5" s="132" t="s">
        <v>168</v>
      </c>
      <c r="B5" s="168"/>
      <c r="C5" s="168"/>
      <c r="D5" s="168"/>
      <c r="E5" s="168"/>
      <c r="F5" s="168"/>
      <c r="G5" s="134"/>
    </row>
    <row r="6" spans="1:7" ht="18.75">
      <c r="A6" s="170" t="s">
        <v>52</v>
      </c>
      <c r="B6" s="168"/>
      <c r="C6" s="168"/>
      <c r="D6" s="168"/>
      <c r="E6" s="168"/>
      <c r="F6" s="168"/>
      <c r="G6" s="134"/>
    </row>
    <row r="7" spans="1:7" ht="18.75">
      <c r="A7" s="171"/>
      <c r="B7" s="168"/>
      <c r="C7" s="168"/>
      <c r="D7" s="168"/>
      <c r="E7" s="168"/>
      <c r="F7" s="168"/>
      <c r="G7" s="134"/>
    </row>
    <row r="8" spans="1:7" s="175" customFormat="1" ht="18.75">
      <c r="A8" s="172"/>
      <c r="B8" s="173"/>
      <c r="C8" s="173" t="s">
        <v>169</v>
      </c>
      <c r="D8" s="173" t="s">
        <v>170</v>
      </c>
      <c r="E8" s="173"/>
      <c r="F8" s="173"/>
      <c r="G8" s="174"/>
    </row>
    <row r="9" spans="1:7" s="175" customFormat="1" ht="18.75">
      <c r="A9" s="172"/>
      <c r="B9" s="173"/>
      <c r="C9" s="173" t="s">
        <v>171</v>
      </c>
      <c r="D9" s="173" t="s">
        <v>172</v>
      </c>
      <c r="E9" s="173"/>
      <c r="F9" s="173"/>
      <c r="G9" s="174"/>
    </row>
    <row r="10" spans="1:7" s="175" customFormat="1" ht="18.75">
      <c r="A10" s="172"/>
      <c r="B10" s="173"/>
      <c r="C10" s="173" t="s">
        <v>173</v>
      </c>
      <c r="D10" s="173" t="s">
        <v>174</v>
      </c>
      <c r="E10" s="173"/>
      <c r="F10" s="173"/>
      <c r="G10" s="174"/>
    </row>
    <row r="11" spans="1:7" s="175" customFormat="1" ht="18.75">
      <c r="A11" s="172"/>
      <c r="B11" s="173" t="s">
        <v>175</v>
      </c>
      <c r="C11" s="173" t="s">
        <v>176</v>
      </c>
      <c r="D11" s="173" t="s">
        <v>177</v>
      </c>
      <c r="E11" s="173" t="s">
        <v>178</v>
      </c>
      <c r="F11" s="173"/>
      <c r="G11" s="174"/>
    </row>
    <row r="12" spans="1:7" s="175" customFormat="1" ht="18.75">
      <c r="A12" s="172"/>
      <c r="B12" s="173" t="s">
        <v>179</v>
      </c>
      <c r="C12" s="173" t="s">
        <v>180</v>
      </c>
      <c r="D12" s="173" t="s">
        <v>181</v>
      </c>
      <c r="E12" s="173" t="s">
        <v>182</v>
      </c>
      <c r="F12" s="173" t="s">
        <v>183</v>
      </c>
      <c r="G12" s="174"/>
    </row>
    <row r="13" spans="1:7" s="175" customFormat="1" ht="18.75">
      <c r="A13" s="172"/>
      <c r="B13" s="173" t="s">
        <v>12</v>
      </c>
      <c r="C13" s="173" t="s">
        <v>12</v>
      </c>
      <c r="D13" s="173" t="s">
        <v>12</v>
      </c>
      <c r="E13" s="173" t="s">
        <v>12</v>
      </c>
      <c r="F13" s="173" t="s">
        <v>12</v>
      </c>
      <c r="G13" s="174"/>
    </row>
    <row r="14" spans="1:7" s="178" customFormat="1" ht="9.75" customHeight="1">
      <c r="A14" s="176"/>
      <c r="B14" s="177"/>
      <c r="C14" s="177"/>
      <c r="D14" s="177"/>
      <c r="E14" s="177"/>
      <c r="F14" s="177"/>
      <c r="G14" s="130"/>
    </row>
    <row r="15" spans="1:7" s="22" customFormat="1" ht="18.75">
      <c r="A15" s="179" t="s">
        <v>184</v>
      </c>
      <c r="B15" s="180">
        <v>23236254</v>
      </c>
      <c r="C15" s="180">
        <v>11505462</v>
      </c>
      <c r="D15" s="180">
        <v>11868293</v>
      </c>
      <c r="E15" s="180">
        <v>-34602268</v>
      </c>
      <c r="F15" s="180">
        <f>SUM(B15:E15)</f>
        <v>12007741</v>
      </c>
      <c r="G15" s="164"/>
    </row>
    <row r="16" spans="1:7" ht="9" customHeight="1">
      <c r="A16" s="171"/>
      <c r="B16" s="181"/>
      <c r="C16" s="181"/>
      <c r="D16" s="181"/>
      <c r="E16" s="181"/>
      <c r="F16" s="181"/>
      <c r="G16" s="134"/>
    </row>
    <row r="17" spans="1:7" ht="18.75">
      <c r="A17" s="182" t="s">
        <v>185</v>
      </c>
      <c r="B17" s="181">
        <v>0</v>
      </c>
      <c r="C17" s="181">
        <v>0</v>
      </c>
      <c r="D17" s="181">
        <v>0</v>
      </c>
      <c r="E17" s="181">
        <v>3085412</v>
      </c>
      <c r="F17" s="180">
        <f>SUM(B17:E17)</f>
        <v>3085412</v>
      </c>
      <c r="G17" s="134"/>
    </row>
    <row r="18" spans="1:7" ht="18.75">
      <c r="A18" s="171" t="s">
        <v>186</v>
      </c>
      <c r="B18" s="180"/>
      <c r="C18" s="180"/>
      <c r="D18" s="180"/>
      <c r="E18" s="180"/>
      <c r="F18" s="180"/>
      <c r="G18" s="134"/>
    </row>
    <row r="19" spans="1:7" ht="18.75">
      <c r="A19" s="171" t="s">
        <v>187</v>
      </c>
      <c r="B19" s="180">
        <v>1083907</v>
      </c>
      <c r="C19" s="180">
        <v>-2210547</v>
      </c>
      <c r="D19" s="180">
        <v>1126640</v>
      </c>
      <c r="E19" s="180">
        <v>0</v>
      </c>
      <c r="F19" s="180">
        <f>SUM(B19:E19)</f>
        <v>0</v>
      </c>
      <c r="G19" s="134"/>
    </row>
    <row r="20" spans="1:7" ht="18.75">
      <c r="A20" s="171" t="s">
        <v>188</v>
      </c>
      <c r="B20" s="180">
        <v>500000</v>
      </c>
      <c r="C20" s="180">
        <v>0</v>
      </c>
      <c r="D20" s="180">
        <v>0</v>
      </c>
      <c r="E20" s="180">
        <v>0</v>
      </c>
      <c r="F20" s="180">
        <f>SUM(B20:E20)</f>
        <v>500000</v>
      </c>
      <c r="G20" s="134"/>
    </row>
    <row r="21" spans="1:7" ht="18.75">
      <c r="A21" s="171" t="s">
        <v>189</v>
      </c>
      <c r="B21" s="180">
        <v>12083300</v>
      </c>
      <c r="C21" s="180">
        <v>0</v>
      </c>
      <c r="D21" s="180">
        <v>-12083300</v>
      </c>
      <c r="E21" s="180">
        <v>0</v>
      </c>
      <c r="F21" s="180">
        <f>SUM(B21:E21)</f>
        <v>0</v>
      </c>
      <c r="G21" s="134"/>
    </row>
    <row r="22" spans="1:7" ht="18.75">
      <c r="A22" s="171" t="s">
        <v>190</v>
      </c>
      <c r="B22" s="180"/>
      <c r="C22" s="180"/>
      <c r="D22" s="180"/>
      <c r="E22" s="180"/>
      <c r="F22" s="180">
        <f>SUM(B22:E22)</f>
        <v>0</v>
      </c>
      <c r="G22" s="134"/>
    </row>
    <row r="23" spans="1:7" ht="18.75">
      <c r="A23" s="171" t="s">
        <v>42</v>
      </c>
      <c r="B23" s="181">
        <v>0</v>
      </c>
      <c r="C23" s="181">
        <v>0</v>
      </c>
      <c r="D23" s="181">
        <v>0</v>
      </c>
      <c r="E23" s="181">
        <v>-322896</v>
      </c>
      <c r="F23" s="180">
        <f>SUM(B23:E23)</f>
        <v>-322896</v>
      </c>
      <c r="G23" s="134"/>
    </row>
    <row r="24" spans="1:7" ht="9.75" customHeight="1">
      <c r="A24" s="171"/>
      <c r="B24" s="183"/>
      <c r="C24" s="183"/>
      <c r="D24" s="183"/>
      <c r="E24" s="183"/>
      <c r="F24" s="183"/>
      <c r="G24" s="134"/>
    </row>
    <row r="25" spans="1:7" ht="9.75" customHeight="1">
      <c r="A25" s="184"/>
      <c r="B25" s="181"/>
      <c r="C25" s="181"/>
      <c r="D25" s="181"/>
      <c r="E25" s="181"/>
      <c r="F25" s="181"/>
      <c r="G25" s="134"/>
    </row>
    <row r="26" spans="1:7" s="22" customFormat="1" ht="19.5" thickBot="1">
      <c r="A26" s="179" t="s">
        <v>191</v>
      </c>
      <c r="B26" s="185">
        <f>SUM(B15:B24)</f>
        <v>36903461</v>
      </c>
      <c r="C26" s="185">
        <f>SUM(C15:C24)</f>
        <v>9294915</v>
      </c>
      <c r="D26" s="185">
        <f>SUM(D15:D24)</f>
        <v>911633</v>
      </c>
      <c r="E26" s="185">
        <f>SUM(E15:E24)</f>
        <v>-31839752</v>
      </c>
      <c r="F26" s="185">
        <f>SUM(F15:F24)</f>
        <v>15270257</v>
      </c>
      <c r="G26" s="164"/>
    </row>
    <row r="27" spans="1:7" ht="9.75" customHeight="1" thickTop="1">
      <c r="A27" s="171"/>
      <c r="B27" s="181"/>
      <c r="C27" s="181"/>
      <c r="D27" s="181"/>
      <c r="E27" s="181"/>
      <c r="F27" s="181"/>
      <c r="G27" s="134"/>
    </row>
    <row r="28" spans="1:7" ht="18.75">
      <c r="A28" s="186"/>
      <c r="B28" s="180"/>
      <c r="C28" s="180"/>
      <c r="D28" s="180"/>
      <c r="E28" s="180"/>
      <c r="F28" s="180"/>
      <c r="G28" s="164"/>
    </row>
    <row r="29" spans="1:7" ht="18.75">
      <c r="A29" s="179" t="s">
        <v>192</v>
      </c>
      <c r="B29" s="180">
        <v>40789657</v>
      </c>
      <c r="C29" s="180">
        <v>9243155</v>
      </c>
      <c r="D29" s="180">
        <v>885197</v>
      </c>
      <c r="E29" s="180">
        <v>-31751960</v>
      </c>
      <c r="F29" s="180">
        <v>19166049</v>
      </c>
      <c r="G29" s="164"/>
    </row>
    <row r="30" spans="1:7" ht="18.75">
      <c r="A30" s="171" t="s">
        <v>186</v>
      </c>
      <c r="B30" s="180"/>
      <c r="C30" s="180"/>
      <c r="D30" s="180"/>
      <c r="E30" s="180"/>
      <c r="F30" s="180"/>
      <c r="G30" s="164"/>
    </row>
    <row r="31" spans="1:7" ht="18.75">
      <c r="A31" s="171" t="s">
        <v>187</v>
      </c>
      <c r="B31" s="180">
        <f>31257+54196+100489</f>
        <v>185942</v>
      </c>
      <c r="C31" s="180">
        <f>-44700-77500-143700</f>
        <v>-265900</v>
      </c>
      <c r="D31" s="180">
        <f>13443+66515</f>
        <v>79958</v>
      </c>
      <c r="E31" s="180">
        <v>0</v>
      </c>
      <c r="F31" s="180">
        <f aca="true" t="shared" si="0" ref="F31:F36">SUM(B31:E31)</f>
        <v>0</v>
      </c>
      <c r="G31" s="164"/>
    </row>
    <row r="32" spans="1:7" ht="18.75">
      <c r="A32" s="171" t="s">
        <v>188</v>
      </c>
      <c r="B32" s="180">
        <v>878000</v>
      </c>
      <c r="C32" s="180">
        <v>0</v>
      </c>
      <c r="D32" s="180">
        <v>0</v>
      </c>
      <c r="E32" s="180">
        <v>0</v>
      </c>
      <c r="F32" s="180">
        <f t="shared" si="0"/>
        <v>878000</v>
      </c>
      <c r="G32" s="164"/>
    </row>
    <row r="33" spans="1:7" ht="18.75">
      <c r="A33" s="171" t="s">
        <v>189</v>
      </c>
      <c r="B33" s="180"/>
      <c r="C33" s="180"/>
      <c r="D33" s="180"/>
      <c r="E33" s="180">
        <v>0</v>
      </c>
      <c r="F33" s="180">
        <f t="shared" si="0"/>
        <v>0</v>
      </c>
      <c r="G33" s="164"/>
    </row>
    <row r="34" spans="1:7" ht="18.75" customHeight="1">
      <c r="A34" s="182" t="s">
        <v>193</v>
      </c>
      <c r="B34" s="181">
        <v>0</v>
      </c>
      <c r="C34" s="181">
        <v>0</v>
      </c>
      <c r="D34" s="181">
        <v>0</v>
      </c>
      <c r="E34" s="181">
        <f>+'[1]CPLCUM0305'!M48</f>
        <v>3169776.9550000057</v>
      </c>
      <c r="F34" s="180">
        <f t="shared" si="0"/>
        <v>3169776.9550000057</v>
      </c>
      <c r="G34" s="164"/>
    </row>
    <row r="35" spans="1:7" ht="18.75" customHeight="1">
      <c r="A35" s="187" t="s">
        <v>194</v>
      </c>
      <c r="B35" s="181">
        <v>0</v>
      </c>
      <c r="C35" s="181">
        <v>0</v>
      </c>
      <c r="D35" s="181">
        <v>0</v>
      </c>
      <c r="E35" s="181">
        <v>0</v>
      </c>
      <c r="F35" s="180">
        <f t="shared" si="0"/>
        <v>0</v>
      </c>
      <c r="G35" s="164"/>
    </row>
    <row r="36" spans="1:7" ht="18.75">
      <c r="A36" s="171" t="s">
        <v>42</v>
      </c>
      <c r="B36" s="181">
        <v>0</v>
      </c>
      <c r="C36" s="181">
        <v>0</v>
      </c>
      <c r="D36" s="181">
        <v>0</v>
      </c>
      <c r="E36" s="181">
        <f>+'[1]KLSE-BS'!B54</f>
        <v>-253339.48</v>
      </c>
      <c r="F36" s="180">
        <f t="shared" si="0"/>
        <v>-253339.48</v>
      </c>
      <c r="G36" s="134"/>
    </row>
    <row r="37" spans="1:7" ht="9.75" customHeight="1">
      <c r="A37" s="171"/>
      <c r="B37" s="183"/>
      <c r="C37" s="183"/>
      <c r="D37" s="183"/>
      <c r="E37" s="183"/>
      <c r="F37" s="183"/>
      <c r="G37" s="134"/>
    </row>
    <row r="38" spans="1:7" ht="9.75" customHeight="1">
      <c r="A38" s="184"/>
      <c r="B38" s="181"/>
      <c r="C38" s="181"/>
      <c r="D38" s="181"/>
      <c r="E38" s="181"/>
      <c r="F38" s="181"/>
      <c r="G38" s="134"/>
    </row>
    <row r="39" spans="1:7" ht="19.5" thickBot="1">
      <c r="A39" s="179" t="s">
        <v>195</v>
      </c>
      <c r="B39" s="185">
        <f>SUM(B29:B37)</f>
        <v>41853599</v>
      </c>
      <c r="C39" s="185">
        <f>SUM(C29:C37)</f>
        <v>8977255</v>
      </c>
      <c r="D39" s="185">
        <f>SUM(D29:D37)</f>
        <v>965155</v>
      </c>
      <c r="E39" s="185">
        <f>SUM(E29:E37)</f>
        <v>-28835522.524999995</v>
      </c>
      <c r="F39" s="185">
        <f>SUM(F29:F37)</f>
        <v>22960486.475000005</v>
      </c>
      <c r="G39" s="134"/>
    </row>
    <row r="40" spans="1:7" ht="19.5" thickTop="1">
      <c r="A40" s="134"/>
      <c r="B40" s="23"/>
      <c r="C40" s="23"/>
      <c r="D40" s="23"/>
      <c r="E40" s="23"/>
      <c r="F40" s="23"/>
      <c r="G40" s="134"/>
    </row>
    <row r="41" spans="1:7" ht="18.75">
      <c r="A41" s="134"/>
      <c r="B41" s="123"/>
      <c r="C41" s="123"/>
      <c r="D41" s="123"/>
      <c r="E41" s="23"/>
      <c r="F41" s="23"/>
      <c r="G41" s="134"/>
    </row>
    <row r="42" spans="1:7" ht="18.75">
      <c r="A42" s="134"/>
      <c r="B42" s="23"/>
      <c r="C42" s="23"/>
      <c r="D42" s="23"/>
      <c r="E42" s="23"/>
      <c r="F42" s="23"/>
      <c r="G42" s="134"/>
    </row>
    <row r="43" spans="1:7" ht="18.75">
      <c r="A43" s="134"/>
      <c r="B43" s="123"/>
      <c r="C43" s="123"/>
      <c r="D43" s="123"/>
      <c r="E43" s="23"/>
      <c r="F43" s="23"/>
      <c r="G43" s="134"/>
    </row>
    <row r="44" spans="1:7" ht="18.75">
      <c r="A44" s="134"/>
      <c r="B44" s="23"/>
      <c r="C44" s="23"/>
      <c r="D44" s="23"/>
      <c r="E44" s="23"/>
      <c r="F44" s="23"/>
      <c r="G44" s="134"/>
    </row>
    <row r="45" spans="1:7" ht="18.75">
      <c r="A45" s="134"/>
      <c r="B45" s="23"/>
      <c r="C45" s="23"/>
      <c r="D45" s="23"/>
      <c r="E45" s="23"/>
      <c r="F45" s="23"/>
      <c r="G45" s="134"/>
    </row>
    <row r="46" spans="1:7" ht="18.75">
      <c r="A46" s="134"/>
      <c r="B46" s="23"/>
      <c r="C46" s="23"/>
      <c r="D46" s="23"/>
      <c r="E46" s="23"/>
      <c r="F46" s="23"/>
      <c r="G46" s="134"/>
    </row>
    <row r="47" spans="1:7" ht="18.75">
      <c r="A47" s="134"/>
      <c r="B47" s="23"/>
      <c r="C47" s="23"/>
      <c r="D47" s="23"/>
      <c r="E47" s="23"/>
      <c r="F47" s="23"/>
      <c r="G47" s="134"/>
    </row>
  </sheetData>
  <printOptions/>
  <pageMargins left="1.25" right="0.748031496062992" top="0.43" bottom="0.42" header="0.196850393700787" footer="0.27559055118110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Artwright Technology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thiru</dc:creator>
  <cp:keywords/>
  <dc:description/>
  <cp:lastModifiedBy>User</cp:lastModifiedBy>
  <dcterms:created xsi:type="dcterms:W3CDTF">2005-06-08T07:15:41Z</dcterms:created>
  <dcterms:modified xsi:type="dcterms:W3CDTF">2005-06-08T07:40:10Z</dcterms:modified>
  <cp:category/>
  <cp:version/>
  <cp:contentType/>
  <cp:contentStatus/>
</cp:coreProperties>
</file>